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theme/themeOverride22.xml" ContentType="application/vnd.openxmlformats-officedocument.themeOverride+xml"/>
  <Override PartName="/xl/charts/chart31.xml" ContentType="application/vnd.openxmlformats-officedocument.drawingml.chart+xml"/>
  <Override PartName="/xl/theme/themeOverride23.xml" ContentType="application/vnd.openxmlformats-officedocument.themeOverride+xml"/>
  <Override PartName="/xl/charts/chart32.xml" ContentType="application/vnd.openxmlformats-officedocument.drawingml.chart+xml"/>
  <Override PartName="/xl/theme/themeOverride24.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theme/themeOverride25.xml" ContentType="application/vnd.openxmlformats-officedocument.themeOverride+xml"/>
  <Override PartName="/xl/charts/chart36.xml" ContentType="application/vnd.openxmlformats-officedocument.drawingml.chart+xml"/>
  <Override PartName="/xl/theme/themeOverride26.xml" ContentType="application/vnd.openxmlformats-officedocument.themeOverride+xml"/>
  <Override PartName="/xl/charts/chart37.xml" ContentType="application/vnd.openxmlformats-officedocument.drawingml.chart+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style30.xml" ContentType="application/vnd.ms-office.chartstyle+xml"/>
  <Override PartName="/xl/charts/colors30.xml" ContentType="application/vnd.ms-office.chartcolorstyle+xml"/>
  <Override PartName="/xl/charts/style31.xml" ContentType="application/vnd.ms-office.chartstyle+xml"/>
  <Override PartName="/xl/charts/colors31.xml" ContentType="application/vnd.ms-office.chartcolorstyle+xml"/>
  <Override PartName="/xl/charts/style32.xml" ContentType="application/vnd.ms-office.chartstyle+xml"/>
  <Override PartName="/xl/charts/colors32.xml" ContentType="application/vnd.ms-office.chartcolor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style35.xml" ContentType="application/vnd.ms-office.chartstyle+xml"/>
  <Override PartName="/xl/charts/colors35.xml" ContentType="application/vnd.ms-office.chartcolorstyle+xml"/>
  <Override PartName="/xl/charts/style36.xml" ContentType="application/vnd.ms-office.chartstyle+xml"/>
  <Override PartName="/xl/charts/colors36.xml" ContentType="application/vnd.ms-office.chartcolorstyle+xml"/>
  <Override PartName="/xl/charts/style37.xml" ContentType="application/vnd.ms-office.chartstyle+xml"/>
  <Override PartName="/xl/charts/colors3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9FB" lockStructure="1"/>
  <bookViews>
    <workbookView xWindow="9975" yWindow="60" windowWidth="10965" windowHeight="11160" tabRatio="791" firstSheet="1" activeTab="1"/>
  </bookViews>
  <sheets>
    <sheet name="DATOS @" sheetId="22" state="hidden" r:id="rId1"/>
    <sheet name="RT03-F11 @ " sheetId="30" r:id="rId2"/>
    <sheet name="Despues de ajuste @" sheetId="31" state="hidden" r:id="rId3"/>
    <sheet name="CMC @" sheetId="36" r:id="rId4"/>
    <sheet name="Máx. y Mín. @" sheetId="35" r:id="rId5"/>
    <sheet name="VERIFICACIÓN DE LA ESCALA @" sheetId="18" state="hidden" r:id="rId6"/>
    <sheet name="RT03-F14 @" sheetId="26" state="hidden" r:id="rId7"/>
    <sheet name="RT03-F38 @" sheetId="37" state="hidden" r:id="rId8"/>
  </sheets>
  <definedNames>
    <definedName name="_xlnm.Print_Area" localSheetId="0">'DATOS @'!$A$1:$AI$167</definedName>
    <definedName name="_xlnm.Print_Area" localSheetId="2">'Despues de ajuste @'!$A$1:$Y$125</definedName>
    <definedName name="_xlnm.Print_Area" localSheetId="1">'RT03-F11 @ '!$A$1:$Y$125</definedName>
    <definedName name="_xlnm.Print_Area" localSheetId="6">'RT03-F14 @'!$A$1:$K$165</definedName>
    <definedName name="_xlnm.Print_Area" localSheetId="7">'RT03-F38 @'!$A$1:$K$165</definedName>
    <definedName name="_xlnm.Print_Area" localSheetId="5">'VERIFICACIÓN DE LA ESCALA @'!$A$1:$W$61</definedName>
    <definedName name="Print_Area" localSheetId="6">'RT03-F14 @'!$A$1:$K$159</definedName>
    <definedName name="Print_Area" localSheetId="7">'RT03-F38 @'!$A$1:$K$159</definedName>
    <definedName name="Print_Area" localSheetId="5">'VERIFICACIÓN DE LA ESCALA @'!$A$1:$V$60</definedName>
    <definedName name="Print_Titles" localSheetId="5">'VERIFICACIÓN DE LA ESCALA @'!$1:$1</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61" i="37" l="1"/>
  <c r="B161" i="37"/>
  <c r="H160" i="37"/>
  <c r="B160" i="37"/>
  <c r="F131" i="37"/>
  <c r="C131" i="37"/>
  <c r="F130" i="37"/>
  <c r="C130" i="37"/>
  <c r="F129" i="37"/>
  <c r="C129" i="37"/>
  <c r="C104" i="37"/>
  <c r="C111" i="37" s="1"/>
  <c r="C103" i="37"/>
  <c r="C110" i="37" s="1"/>
  <c r="C102" i="37"/>
  <c r="C109" i="37" s="1"/>
  <c r="F116" i="37" s="1"/>
  <c r="I96" i="37"/>
  <c r="G96" i="37"/>
  <c r="E96" i="37"/>
  <c r="D96" i="37"/>
  <c r="I95" i="37"/>
  <c r="G95" i="37"/>
  <c r="D95" i="37"/>
  <c r="I94" i="37"/>
  <c r="G94" i="37"/>
  <c r="D94" i="37"/>
  <c r="I93" i="37"/>
  <c r="G93" i="37"/>
  <c r="D93" i="37"/>
  <c r="H79" i="37"/>
  <c r="E79" i="37"/>
  <c r="B79" i="37"/>
  <c r="E29" i="37"/>
  <c r="A27" i="37"/>
  <c r="E22" i="37"/>
  <c r="E21" i="37"/>
  <c r="E17" i="37"/>
  <c r="E16" i="37"/>
  <c r="E15" i="37"/>
  <c r="J10" i="37"/>
  <c r="D8" i="37"/>
  <c r="D7" i="37"/>
  <c r="D6" i="37"/>
  <c r="F10" i="36" l="1"/>
  <c r="M31" i="22" l="1"/>
  <c r="AF118" i="22" l="1"/>
  <c r="AF115" i="22"/>
  <c r="AF116" i="22"/>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I95" i="31"/>
  <c r="G95" i="31"/>
  <c r="F95" i="31"/>
  <c r="J94" i="31"/>
  <c r="I94" i="31"/>
  <c r="G94" i="31"/>
  <c r="F94" i="31"/>
  <c r="J93" i="31"/>
  <c r="I93" i="31"/>
  <c r="F93" i="31"/>
  <c r="I90" i="31"/>
  <c r="G90" i="31"/>
  <c r="M46" i="31"/>
  <c r="J46" i="31"/>
  <c r="G46" i="31"/>
  <c r="D46" i="31"/>
  <c r="M45" i="31"/>
  <c r="J45" i="31"/>
  <c r="G45" i="31"/>
  <c r="D45" i="31"/>
  <c r="M44" i="31"/>
  <c r="J44" i="31"/>
  <c r="G44" i="31"/>
  <c r="D44" i="31"/>
  <c r="O39" i="31"/>
  <c r="P39" i="31" s="1"/>
  <c r="D39" i="31"/>
  <c r="O38" i="31"/>
  <c r="P38" i="31" s="1"/>
  <c r="O37" i="31"/>
  <c r="P37" i="31" s="1"/>
  <c r="D36" i="31"/>
  <c r="F35" i="31"/>
  <c r="D35" i="31"/>
  <c r="D34" i="31"/>
  <c r="D33" i="31"/>
  <c r="O74" i="31" s="1"/>
  <c r="D32" i="31"/>
  <c r="D31" i="3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K19" i="31"/>
  <c r="I19" i="31"/>
  <c r="G19" i="31"/>
  <c r="E19" i="31"/>
  <c r="C19" i="31"/>
  <c r="B19" i="31"/>
  <c r="P18" i="31"/>
  <c r="O18" i="31"/>
  <c r="G93" i="31" s="1"/>
  <c r="K18" i="31"/>
  <c r="E95" i="31" s="1"/>
  <c r="H95" i="31" s="1"/>
  <c r="L95" i="31" s="1"/>
  <c r="N95" i="31" s="1"/>
  <c r="I18" i="31"/>
  <c r="E93" i="31" s="1"/>
  <c r="G18" i="31"/>
  <c r="E18" i="31"/>
  <c r="E94" i="31" s="1"/>
  <c r="C18" i="31"/>
  <c r="D92" i="31" s="1"/>
  <c r="B18" i="31"/>
  <c r="P17" i="31"/>
  <c r="O17" i="31"/>
  <c r="K17" i="31"/>
  <c r="I17" i="31"/>
  <c r="G17" i="31"/>
  <c r="E17" i="31"/>
  <c r="C17" i="31"/>
  <c r="B17" i="31"/>
  <c r="P16" i="31"/>
  <c r="O16" i="31"/>
  <c r="K16" i="31"/>
  <c r="I16" i="31"/>
  <c r="M16" i="31" s="1"/>
  <c r="G16" i="31"/>
  <c r="E16" i="31"/>
  <c r="C16" i="31"/>
  <c r="B16" i="31"/>
  <c r="P15" i="31"/>
  <c r="O15" i="31"/>
  <c r="K15" i="31"/>
  <c r="I15" i="31"/>
  <c r="M15" i="31" s="1"/>
  <c r="G15" i="31"/>
  <c r="E15" i="31"/>
  <c r="C15" i="31"/>
  <c r="B15" i="31"/>
  <c r="P14" i="31"/>
  <c r="O14" i="31"/>
  <c r="G104" i="31" s="1"/>
  <c r="K14" i="31"/>
  <c r="I14" i="31"/>
  <c r="G14" i="31"/>
  <c r="E14" i="31"/>
  <c r="E103" i="31" s="1"/>
  <c r="H103" i="31" s="1"/>
  <c r="C14" i="31"/>
  <c r="B14" i="31"/>
  <c r="P13" i="31"/>
  <c r="O13" i="31"/>
  <c r="K13" i="31"/>
  <c r="I13" i="31"/>
  <c r="E104" i="31" s="1"/>
  <c r="G13" i="31"/>
  <c r="E13" i="31"/>
  <c r="C13" i="31"/>
  <c r="B13" i="31"/>
  <c r="P12" i="31"/>
  <c r="O12" i="31"/>
  <c r="K12" i="31"/>
  <c r="I12" i="31"/>
  <c r="M12" i="31" s="1"/>
  <c r="G12" i="31"/>
  <c r="E12" i="31"/>
  <c r="C12" i="31"/>
  <c r="B12" i="31"/>
  <c r="P11" i="31"/>
  <c r="O11" i="31"/>
  <c r="K11" i="31"/>
  <c r="I11" i="31"/>
  <c r="G11" i="31"/>
  <c r="E11" i="31"/>
  <c r="D98" i="31" s="1"/>
  <c r="C11" i="31"/>
  <c r="B11" i="31"/>
  <c r="P10" i="31"/>
  <c r="O10" i="31"/>
  <c r="K10" i="31"/>
  <c r="I10" i="31"/>
  <c r="G10" i="31"/>
  <c r="E10" i="31"/>
  <c r="C10" i="31"/>
  <c r="B10" i="31"/>
  <c r="P9" i="31"/>
  <c r="O9" i="31"/>
  <c r="G99" i="31" s="1"/>
  <c r="K9" i="31"/>
  <c r="I9" i="31"/>
  <c r="M9" i="31" s="1"/>
  <c r="G9" i="31"/>
  <c r="E9" i="31"/>
  <c r="E98" i="31" s="1"/>
  <c r="H98" i="31" s="1"/>
  <c r="C9" i="31"/>
  <c r="B9" i="31"/>
  <c r="P8" i="31"/>
  <c r="O8" i="31"/>
  <c r="K8" i="31"/>
  <c r="I8" i="31"/>
  <c r="G8" i="31"/>
  <c r="E8" i="31"/>
  <c r="C8" i="31"/>
  <c r="B8" i="31"/>
  <c r="P7" i="31"/>
  <c r="O7" i="31"/>
  <c r="G89" i="31" s="1"/>
  <c r="I7" i="31"/>
  <c r="E89" i="31" s="1"/>
  <c r="E7" i="31"/>
  <c r="C7" i="31"/>
  <c r="O66" i="31" s="1"/>
  <c r="B7" i="31"/>
  <c r="P3" i="31"/>
  <c r="M3" i="31"/>
  <c r="J3" i="31"/>
  <c r="G3" i="31"/>
  <c r="D3" i="31"/>
  <c r="B3" i="31"/>
  <c r="E10" i="35"/>
  <c r="E9" i="35"/>
  <c r="D10" i="35"/>
  <c r="D9" i="35"/>
  <c r="C10" i="35"/>
  <c r="C9" i="35"/>
  <c r="G95" i="30"/>
  <c r="G100" i="30"/>
  <c r="G105" i="30"/>
  <c r="K18" i="30"/>
  <c r="K19" i="30"/>
  <c r="B16" i="30"/>
  <c r="B15" i="30"/>
  <c r="B14" i="30"/>
  <c r="B13" i="30"/>
  <c r="B12" i="30"/>
  <c r="B11" i="30"/>
  <c r="B10" i="30"/>
  <c r="B9" i="30"/>
  <c r="B8" i="30"/>
  <c r="B7" i="30"/>
  <c r="B17" i="30"/>
  <c r="P17" i="30"/>
  <c r="P16" i="30"/>
  <c r="P15" i="30"/>
  <c r="P14" i="30"/>
  <c r="P13" i="30"/>
  <c r="P12" i="30"/>
  <c r="P11" i="30"/>
  <c r="P10" i="30"/>
  <c r="P9" i="30"/>
  <c r="P8" i="30"/>
  <c r="O17" i="30"/>
  <c r="O16" i="30"/>
  <c r="O15" i="30"/>
  <c r="O14" i="30"/>
  <c r="O13" i="30"/>
  <c r="O12" i="30"/>
  <c r="O11" i="30"/>
  <c r="O10" i="30"/>
  <c r="O9" i="30"/>
  <c r="O8" i="30"/>
  <c r="P7" i="30"/>
  <c r="O7"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I7" i="30"/>
  <c r="E7" i="30"/>
  <c r="C7" i="30"/>
  <c r="O32" i="22"/>
  <c r="O31" i="22"/>
  <c r="K7" i="31" s="1"/>
  <c r="E90" i="31" s="1"/>
  <c r="H90" i="31" s="1"/>
  <c r="Z127" i="22"/>
  <c r="AA127" i="22"/>
  <c r="W127" i="22"/>
  <c r="T127" i="22"/>
  <c r="AA126" i="22"/>
  <c r="Z125" i="22"/>
  <c r="AA125" i="22"/>
  <c r="AA123" i="22"/>
  <c r="Z122" i="22"/>
  <c r="AA122" i="22"/>
  <c r="W122" i="22"/>
  <c r="T122" i="22"/>
  <c r="Z126" i="22"/>
  <c r="W126" i="22"/>
  <c r="T126" i="22"/>
  <c r="W125" i="22"/>
  <c r="T125" i="22"/>
  <c r="AA124" i="22"/>
  <c r="Z124" i="22"/>
  <c r="W124" i="22"/>
  <c r="T124" i="22"/>
  <c r="Z123" i="22"/>
  <c r="W123" i="22"/>
  <c r="T123" i="22"/>
  <c r="V114" i="22"/>
  <c r="S114" i="22"/>
  <c r="P114" i="22"/>
  <c r="W114" i="22" s="1"/>
  <c r="V115" i="22"/>
  <c r="W115" i="22" s="1"/>
  <c r="S115" i="22"/>
  <c r="P115" i="22"/>
  <c r="V117" i="22"/>
  <c r="S117" i="22"/>
  <c r="P116" i="22"/>
  <c r="P117" i="22"/>
  <c r="V116" i="22"/>
  <c r="S116" i="22"/>
  <c r="W116" i="22" s="1"/>
  <c r="V113" i="22"/>
  <c r="W113" i="22" s="1"/>
  <c r="S113" i="22"/>
  <c r="P113" i="22"/>
  <c r="E106" i="31" l="1"/>
  <c r="H106" i="31" s="1"/>
  <c r="E101" i="31"/>
  <c r="H101" i="31" s="1"/>
  <c r="M19" i="31"/>
  <c r="H94" i="31"/>
  <c r="L94" i="31" s="1"/>
  <c r="N94" i="31" s="1"/>
  <c r="H93" i="31"/>
  <c r="M14" i="31"/>
  <c r="M10" i="31"/>
  <c r="F36" i="31"/>
  <c r="E111" i="31"/>
  <c r="H111" i="31" s="1"/>
  <c r="L111" i="31" s="1"/>
  <c r="N111" i="31" s="1"/>
  <c r="H104" i="31"/>
  <c r="K56" i="31"/>
  <c r="K57" i="31"/>
  <c r="M8" i="31"/>
  <c r="E114" i="31"/>
  <c r="H114" i="31" s="1"/>
  <c r="L114" i="31" s="1"/>
  <c r="N114" i="31" s="1"/>
  <c r="M11" i="31"/>
  <c r="K21" i="31"/>
  <c r="M21" i="31" s="1"/>
  <c r="N47" i="31"/>
  <c r="P70" i="31" s="1"/>
  <c r="K74" i="31" s="1"/>
  <c r="J110" i="31" s="1"/>
  <c r="K22" i="31"/>
  <c r="M22" i="31" s="1"/>
  <c r="K55" i="31"/>
  <c r="E99" i="31"/>
  <c r="H99" i="31" s="1"/>
  <c r="M17" i="31"/>
  <c r="K7" i="30"/>
  <c r="M7" i="31"/>
  <c r="H89" i="31"/>
  <c r="L93" i="31"/>
  <c r="N93" i="31" s="1"/>
  <c r="M13" i="31"/>
  <c r="D88" i="31"/>
  <c r="D103" i="31"/>
  <c r="M18" i="31"/>
  <c r="O30" i="31"/>
  <c r="E109" i="31"/>
  <c r="H109" i="31" s="1"/>
  <c r="G47" i="31"/>
  <c r="W117" i="22"/>
  <c r="J111" i="30"/>
  <c r="J95" i="30"/>
  <c r="J94" i="30"/>
  <c r="J93" i="30"/>
  <c r="R44" i="22"/>
  <c r="K8" i="30" s="1"/>
  <c r="R45" i="22"/>
  <c r="R46" i="22"/>
  <c r="K10" i="30" s="1"/>
  <c r="R47" i="22"/>
  <c r="R48" i="22"/>
  <c r="K58" i="31" l="1"/>
  <c r="D37" i="31" s="1"/>
  <c r="D107" i="31" s="1"/>
  <c r="D102" i="31"/>
  <c r="E105" i="31" s="1"/>
  <c r="H105" i="31" s="1"/>
  <c r="D97" i="31"/>
  <c r="E100" i="31" s="1"/>
  <c r="H100" i="31" s="1"/>
  <c r="E97" i="31"/>
  <c r="O68" i="31"/>
  <c r="O28" i="31"/>
  <c r="O31" i="31"/>
  <c r="O29" i="31"/>
  <c r="O27" i="31"/>
  <c r="K12" i="30"/>
  <c r="K11" i="30"/>
  <c r="K9" i="30"/>
  <c r="G90" i="30"/>
  <c r="O78" i="31" l="1"/>
  <c r="E107" i="31"/>
  <c r="E108" i="31"/>
  <c r="H108" i="31" s="1"/>
  <c r="F37" i="31"/>
  <c r="P78" i="31" s="1"/>
  <c r="K68" i="31"/>
  <c r="K76" i="31"/>
  <c r="J108" i="31" s="1"/>
  <c r="K72" i="31"/>
  <c r="J109" i="31" s="1"/>
  <c r="L109" i="31" s="1"/>
  <c r="N109" i="31" s="1"/>
  <c r="G111" i="30"/>
  <c r="L108" i="31" l="1"/>
  <c r="N108" i="31" s="1"/>
  <c r="J100" i="31"/>
  <c r="L100" i="31" s="1"/>
  <c r="N100" i="31" s="1"/>
  <c r="J101" i="31"/>
  <c r="L101" i="31" s="1"/>
  <c r="N101" i="31" s="1"/>
  <c r="J98" i="31"/>
  <c r="L98" i="31" s="1"/>
  <c r="N98" i="31" s="1"/>
  <c r="J99" i="31"/>
  <c r="L99" i="31" s="1"/>
  <c r="N99" i="31" s="1"/>
  <c r="O37" i="30"/>
  <c r="P37" i="30" s="1"/>
  <c r="G115" i="30" l="1"/>
  <c r="R58" i="22" l="1"/>
  <c r="R39" i="22" l="1"/>
  <c r="K14" i="30" s="1"/>
  <c r="R40" i="22"/>
  <c r="K15" i="30" s="1"/>
  <c r="R41" i="22"/>
  <c r="K16" i="30" s="1"/>
  <c r="R42" i="22"/>
  <c r="K17" i="30" s="1"/>
  <c r="R38" i="22"/>
  <c r="K13" i="30" s="1"/>
  <c r="A27" i="26" l="1"/>
  <c r="J10" i="26" l="1"/>
  <c r="E96" i="26" l="1"/>
  <c r="G116" i="30"/>
  <c r="G44" i="30" l="1"/>
  <c r="G45" i="30"/>
  <c r="G96" i="26" l="1"/>
  <c r="M8" i="30" l="1"/>
  <c r="B3" i="30" l="1"/>
  <c r="H32" i="22" l="1"/>
  <c r="H31" i="22"/>
  <c r="AF117" i="22"/>
  <c r="G7" i="30" l="1"/>
  <c r="G7" i="31"/>
  <c r="C104" i="26"/>
  <c r="C103" i="26"/>
  <c r="C102"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P39" i="30" s="1"/>
  <c r="H79" i="26" s="1"/>
  <c r="D39" i="30"/>
  <c r="O38" i="30"/>
  <c r="P38" i="30" s="1"/>
  <c r="E79" i="26" s="1"/>
  <c r="D36" i="30"/>
  <c r="E111" i="30" s="1"/>
  <c r="F35" i="30"/>
  <c r="D35" i="30"/>
  <c r="D33" i="30"/>
  <c r="D31" i="30"/>
  <c r="F30" i="30"/>
  <c r="D30" i="30"/>
  <c r="F29" i="30"/>
  <c r="A102" i="37" s="1"/>
  <c r="A109" i="37"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J3" i="30"/>
  <c r="G3" i="30"/>
  <c r="D3" i="30"/>
  <c r="E10" i="37" s="1"/>
  <c r="N48" i="22"/>
  <c r="N47" i="22"/>
  <c r="N46" i="22"/>
  <c r="N45" i="22"/>
  <c r="N44" i="22"/>
  <c r="M48" i="22"/>
  <c r="M47" i="22"/>
  <c r="M46" i="22"/>
  <c r="M45" i="22"/>
  <c r="M44" i="22"/>
  <c r="N42" i="22"/>
  <c r="N41" i="22"/>
  <c r="N40" i="22"/>
  <c r="N39" i="22"/>
  <c r="N38" i="22"/>
  <c r="M42" i="22"/>
  <c r="M41" i="22"/>
  <c r="M40" i="22"/>
  <c r="M39" i="22"/>
  <c r="M38" i="22"/>
  <c r="E109" i="30" l="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2" i="26"/>
  <c r="F36" i="30"/>
  <c r="E104" i="30"/>
  <c r="H104" i="30" s="1"/>
  <c r="H109" i="30"/>
  <c r="H93" i="30" l="1"/>
  <c r="L93" i="30" s="1"/>
  <c r="N93" i="30" s="1"/>
  <c r="K57" i="30"/>
  <c r="K55" i="30"/>
  <c r="K56" i="30"/>
  <c r="E106" i="30"/>
  <c r="H106" i="30" s="1"/>
  <c r="G47" i="30"/>
  <c r="E97" i="30" s="1"/>
  <c r="N47" i="30"/>
  <c r="D102" i="30" s="1"/>
  <c r="E101" i="30"/>
  <c r="H101" i="30" s="1"/>
  <c r="E95" i="30"/>
  <c r="H95" i="30" s="1"/>
  <c r="L95" i="30" s="1"/>
  <c r="N95" i="30" s="1"/>
  <c r="E105" i="30" l="1"/>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G57" i="31"/>
  <c r="H57" i="31" s="1"/>
  <c r="E110" i="31"/>
  <c r="H110" i="31" s="1"/>
  <c r="L110" i="31" s="1"/>
  <c r="N110" i="31" s="1"/>
  <c r="G56" i="31"/>
  <c r="H56" i="31" s="1"/>
  <c r="G55" i="31"/>
  <c r="H55" i="31" s="1"/>
  <c r="L115" i="30"/>
  <c r="N115" i="30" s="1"/>
  <c r="F33" i="30"/>
  <c r="E110" i="30" s="1"/>
  <c r="E32" i="22"/>
  <c r="E31" i="22"/>
  <c r="D32" i="22"/>
  <c r="D31" i="22"/>
  <c r="C32" i="22"/>
  <c r="C31" i="22"/>
  <c r="H58" i="31" l="1"/>
  <c r="H59" i="31"/>
  <c r="K66" i="31"/>
  <c r="K70" i="31"/>
  <c r="G89" i="30"/>
  <c r="H110" i="30"/>
  <c r="P76" i="30"/>
  <c r="K66" i="30" s="1"/>
  <c r="J90" i="30" s="1"/>
  <c r="M7" i="30"/>
  <c r="C121" i="31" l="1"/>
  <c r="F109" i="37" s="1"/>
  <c r="F123" i="37" s="1"/>
  <c r="P30" i="31"/>
  <c r="J104" i="31"/>
  <c r="L104" i="31" s="1"/>
  <c r="N104" i="31" s="1"/>
  <c r="J105" i="31"/>
  <c r="L105" i="31" s="1"/>
  <c r="N105" i="31" s="1"/>
  <c r="J106" i="31"/>
  <c r="L106" i="31" s="1"/>
  <c r="N106" i="31" s="1"/>
  <c r="J103" i="31"/>
  <c r="L103" i="31" s="1"/>
  <c r="N103" i="31" s="1"/>
  <c r="J90" i="31"/>
  <c r="L90" i="31" s="1"/>
  <c r="N90" i="31" s="1"/>
  <c r="J89" i="31"/>
  <c r="L89" i="31" s="1"/>
  <c r="N89" i="31" s="1"/>
  <c r="E116" i="31"/>
  <c r="H116" i="31" s="1"/>
  <c r="L116" i="31" s="1"/>
  <c r="N116" i="31" s="1"/>
  <c r="H60" i="31"/>
  <c r="J89" i="30"/>
  <c r="E90" i="30"/>
  <c r="H90" i="30" s="1"/>
  <c r="E89" i="30"/>
  <c r="H89" i="30" s="1"/>
  <c r="D88" i="30"/>
  <c r="O30" i="30"/>
  <c r="O66" i="30"/>
  <c r="G56" i="30"/>
  <c r="H56" i="30" s="1"/>
  <c r="G57" i="30"/>
  <c r="H57" i="30" s="1"/>
  <c r="G55" i="30"/>
  <c r="H55" i="30" s="1"/>
  <c r="H160" i="26"/>
  <c r="P29" i="31" l="1"/>
  <c r="Q29" i="31" s="1"/>
  <c r="R29" i="31" s="1"/>
  <c r="P27" i="31"/>
  <c r="Q27" i="31" s="1"/>
  <c r="R27" i="31" s="1"/>
  <c r="P31" i="31"/>
  <c r="Q31" i="31" s="1"/>
  <c r="R31" i="31" s="1"/>
  <c r="P28" i="31"/>
  <c r="Q28" i="31" s="1"/>
  <c r="Q30" i="31"/>
  <c r="C122" i="31"/>
  <c r="C124" i="31"/>
  <c r="F112" i="37" s="1"/>
  <c r="H121" i="31"/>
  <c r="E117" i="31"/>
  <c r="H117" i="31" s="1"/>
  <c r="L117" i="31" s="1"/>
  <c r="N117" i="31" s="1"/>
  <c r="N118" i="31" s="1"/>
  <c r="L89" i="30"/>
  <c r="N89" i="30" s="1"/>
  <c r="L90" i="30"/>
  <c r="N90" i="30" s="1"/>
  <c r="H59" i="30"/>
  <c r="H60" i="30" s="1"/>
  <c r="H58" i="30"/>
  <c r="C121" i="30" s="1"/>
  <c r="F102" i="37" s="1"/>
  <c r="O31" i="30"/>
  <c r="O27" i="30"/>
  <c r="O29" i="30"/>
  <c r="O28" i="30"/>
  <c r="K72" i="30"/>
  <c r="J109" i="30" s="1"/>
  <c r="L109" i="30" s="1"/>
  <c r="N109" i="30" s="1"/>
  <c r="K68" i="30"/>
  <c r="K74" i="30"/>
  <c r="J110" i="30" s="1"/>
  <c r="L110" i="30" s="1"/>
  <c r="N110" i="30" s="1"/>
  <c r="K70" i="30"/>
  <c r="K76" i="30"/>
  <c r="J108" i="30" s="1"/>
  <c r="L108" i="30" s="1"/>
  <c r="N108" i="30" s="1"/>
  <c r="C123" i="31" l="1"/>
  <c r="F111" i="37" s="1"/>
  <c r="F110" i="37"/>
  <c r="N118" i="30"/>
  <c r="N119" i="30" s="1"/>
  <c r="N120" i="31"/>
  <c r="D121" i="31"/>
  <c r="N119" i="31"/>
  <c r="Q55" i="31"/>
  <c r="R30" i="31"/>
  <c r="Q54" i="31" s="1"/>
  <c r="H122" i="31"/>
  <c r="I121" i="31"/>
  <c r="Q57" i="31"/>
  <c r="R28" i="31"/>
  <c r="Q56" i="31" s="1"/>
  <c r="N124" i="31"/>
  <c r="N125" i="31" s="1"/>
  <c r="O124" i="31" s="1"/>
  <c r="F109" i="26"/>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61" i="26"/>
  <c r="J109" i="37" l="1"/>
  <c r="I122" i="31"/>
  <c r="J110" i="37" s="1"/>
  <c r="H123" i="31"/>
  <c r="D122" i="31"/>
  <c r="F121" i="31"/>
  <c r="J121" i="31" s="1"/>
  <c r="N123" i="31"/>
  <c r="M123" i="31"/>
  <c r="F110" i="26"/>
  <c r="F112" i="26"/>
  <c r="C124" i="30"/>
  <c r="F105" i="37" s="1"/>
  <c r="N99" i="30"/>
  <c r="F102" i="26"/>
  <c r="H121" i="30"/>
  <c r="I121" i="30" s="1"/>
  <c r="C122" i="30"/>
  <c r="F103" i="37" s="1"/>
  <c r="Q30" i="30"/>
  <c r="P28" i="30"/>
  <c r="Q28" i="30" s="1"/>
  <c r="P31" i="30"/>
  <c r="Q31" i="30" s="1"/>
  <c r="R31" i="30" s="1"/>
  <c r="P29" i="30"/>
  <c r="Q29" i="30" s="1"/>
  <c r="R29" i="30" s="1"/>
  <c r="P27" i="30"/>
  <c r="Q27" i="30" s="1"/>
  <c r="R27" i="30" s="1"/>
  <c r="G95" i="26"/>
  <c r="G94" i="26"/>
  <c r="I93" i="26"/>
  <c r="G93" i="26"/>
  <c r="D93" i="26"/>
  <c r="I96" i="26"/>
  <c r="D96" i="26"/>
  <c r="J102" i="37" l="1"/>
  <c r="K109" i="37"/>
  <c r="F122" i="31"/>
  <c r="J122" i="31" s="1"/>
  <c r="D123" i="31"/>
  <c r="I123" i="31"/>
  <c r="H124" i="31"/>
  <c r="J102" i="26"/>
  <c r="F103" i="26"/>
  <c r="F105" i="26"/>
  <c r="Q55" i="30"/>
  <c r="R30" i="30"/>
  <c r="Q54" i="30" s="1"/>
  <c r="H122" i="30"/>
  <c r="Q57" i="30"/>
  <c r="R28" i="30"/>
  <c r="Q56" i="30" s="1"/>
  <c r="C123" i="30"/>
  <c r="F104" i="37" s="1"/>
  <c r="N15" i="22"/>
  <c r="J2" i="37" s="1"/>
  <c r="I124" i="31" l="1"/>
  <c r="J112" i="37" s="1"/>
  <c r="J111" i="37"/>
  <c r="J87" i="37"/>
  <c r="J121" i="37"/>
  <c r="J41" i="37"/>
  <c r="J2" i="26"/>
  <c r="D124" i="31"/>
  <c r="F124" i="31" s="1"/>
  <c r="F123" i="31"/>
  <c r="J123" i="31" s="1"/>
  <c r="J124" i="31" s="1"/>
  <c r="F111" i="26"/>
  <c r="J109" i="26"/>
  <c r="J110" i="26"/>
  <c r="F104" i="26"/>
  <c r="H123" i="30"/>
  <c r="I122" i="30"/>
  <c r="J103" i="37" s="1"/>
  <c r="J41" i="26" l="1"/>
  <c r="J121" i="26"/>
  <c r="J87" i="26"/>
  <c r="J103" i="26"/>
  <c r="J111" i="26"/>
  <c r="I123" i="30"/>
  <c r="J104" i="37" s="1"/>
  <c r="H124" i="30"/>
  <c r="J112" i="26" l="1"/>
  <c r="I124" i="30"/>
  <c r="J105" i="37" s="1"/>
  <c r="J104" i="26"/>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J105" i="26" l="1"/>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I163" i="22"/>
  <c r="Q58" i="22"/>
  <c r="H163" i="22" s="1"/>
  <c r="P58" i="22"/>
  <c r="G163" i="22" s="1"/>
  <c r="C167" i="22"/>
  <c r="C166" i="22"/>
  <c r="C165" i="22"/>
  <c r="C164" i="22"/>
  <c r="C163" i="22"/>
  <c r="B167" i="22"/>
  <c r="B166" i="22"/>
  <c r="B164" i="22"/>
  <c r="B165" i="22"/>
  <c r="B163" i="22"/>
  <c r="F161" i="22"/>
  <c r="E161" i="22"/>
  <c r="D161" i="22"/>
  <c r="C161" i="22"/>
  <c r="L19" i="18" l="1"/>
  <c r="L20" i="18"/>
  <c r="L21" i="18"/>
  <c r="B79" i="26" l="1"/>
  <c r="P3" i="18"/>
  <c r="M3" i="18"/>
  <c r="J3" i="18"/>
  <c r="G3" i="18"/>
  <c r="D3" i="18"/>
  <c r="B3" i="18"/>
  <c r="E29" i="26" l="1"/>
  <c r="D8" i="26"/>
  <c r="D7" i="26"/>
  <c r="D6" i="26"/>
  <c r="M26" i="22" l="1"/>
  <c r="G44" i="18" l="1"/>
  <c r="K21" i="18" l="1"/>
  <c r="E43" i="18"/>
  <c r="G43" i="18"/>
  <c r="D12" i="18"/>
  <c r="K28" i="18" s="1"/>
  <c r="J44" i="18" s="1"/>
  <c r="R11" i="18"/>
  <c r="I43" i="18"/>
  <c r="E44" i="18"/>
  <c r="Q11" i="18"/>
  <c r="B161" i="26"/>
  <c r="B160" i="26"/>
  <c r="C111" i="26"/>
  <c r="I95" i="26"/>
  <c r="I94" i="26"/>
  <c r="D95" i="26"/>
  <c r="D94" i="26"/>
  <c r="E17" i="26"/>
  <c r="E21" i="26"/>
  <c r="E16" i="26"/>
  <c r="E15" i="26"/>
  <c r="J7" i="18"/>
  <c r="I19" i="18"/>
  <c r="K22" i="18" s="1"/>
  <c r="I20" i="18"/>
  <c r="J22" i="18" s="1"/>
  <c r="J21" i="18"/>
  <c r="K25" i="22"/>
  <c r="K26" i="22"/>
  <c r="E47" i="18"/>
  <c r="G48" i="18"/>
  <c r="J47" i="18"/>
  <c r="I45" i="18"/>
  <c r="I49" i="18" s="1"/>
  <c r="G47" i="18"/>
  <c r="H47" i="18" s="1"/>
  <c r="L47" i="18" s="1"/>
  <c r="N47" i="18" s="1"/>
  <c r="J45" i="18"/>
  <c r="G45" i="18"/>
  <c r="E45" i="18"/>
  <c r="I44" i="18"/>
  <c r="F19" i="18"/>
  <c r="F20" i="18"/>
  <c r="V20" i="18"/>
  <c r="V19" i="18"/>
  <c r="V18" i="18"/>
  <c r="D44" i="18" s="1"/>
  <c r="I12" i="18"/>
  <c r="D34" i="30" l="1"/>
  <c r="E114" i="30" s="1"/>
  <c r="H114" i="30" s="1"/>
  <c r="L114" i="30" s="1"/>
  <c r="N114" i="30" s="1"/>
  <c r="H15" i="22"/>
  <c r="F31" i="31" s="1"/>
  <c r="H45" i="18"/>
  <c r="A109" i="26"/>
  <c r="I48" i="18"/>
  <c r="J19" i="18"/>
  <c r="K20" i="18" s="1"/>
  <c r="I47" i="18"/>
  <c r="C109" i="26"/>
  <c r="F116" i="26" s="1"/>
  <c r="P20" i="18"/>
  <c r="L45" i="18"/>
  <c r="N45" i="18" s="1"/>
  <c r="P21" i="18"/>
  <c r="C22" i="18"/>
  <c r="C21" i="18"/>
  <c r="E48" i="18" s="1"/>
  <c r="H48" i="18" s="1"/>
  <c r="L48" i="18" s="1"/>
  <c r="N48" i="18" s="1"/>
  <c r="O18" i="18"/>
  <c r="M20" i="18" s="1"/>
  <c r="T12" i="18" s="1"/>
  <c r="U12" i="18" s="1"/>
  <c r="V12" i="18" s="1"/>
  <c r="K26" i="18"/>
  <c r="K30" i="18"/>
  <c r="K32" i="18" s="1"/>
  <c r="H43" i="18"/>
  <c r="D43" i="18"/>
  <c r="N124" i="30" l="1"/>
  <c r="N125" i="30" s="1"/>
  <c r="O124" i="30" s="1"/>
  <c r="I15" i="22"/>
  <c r="F32" i="31" s="1"/>
  <c r="D121" i="30"/>
  <c r="N120" i="30"/>
  <c r="F31" i="30"/>
  <c r="E22" i="26"/>
  <c r="G32" i="22"/>
  <c r="G31" i="22"/>
  <c r="I25" i="22"/>
  <c r="C110" i="26"/>
  <c r="Q21" i="18"/>
  <c r="H44" i="18" s="1"/>
  <c r="L44" i="18" s="1"/>
  <c r="N44" i="18" s="1"/>
  <c r="M19" i="18"/>
  <c r="T11" i="18" s="1"/>
  <c r="U11" i="18" s="1"/>
  <c r="V11" i="18" s="1"/>
  <c r="M21" i="18"/>
  <c r="T13" i="18" s="1"/>
  <c r="U13" i="18" s="1"/>
  <c r="V13" i="18" s="1"/>
  <c r="L43" i="18"/>
  <c r="N43" i="18" s="1"/>
  <c r="D32" i="30" l="1"/>
  <c r="N123" i="30"/>
  <c r="M123" i="30"/>
  <c r="D122" i="30"/>
  <c r="F121" i="30"/>
  <c r="F32" i="30"/>
  <c r="I26" i="22"/>
  <c r="U15" i="18"/>
  <c r="U16" i="18" s="1"/>
  <c r="U14" i="18"/>
  <c r="D42" i="18" s="1"/>
  <c r="V15" i="18"/>
  <c r="V16" i="18" s="1"/>
  <c r="H49" i="18" s="1"/>
  <c r="L49" i="18" s="1"/>
  <c r="N49" i="18" s="1"/>
  <c r="N50" i="18" s="1"/>
  <c r="V14" i="18"/>
  <c r="C56" i="18" s="1"/>
  <c r="H102" i="37" l="1"/>
  <c r="H109" i="37"/>
  <c r="K102" i="37"/>
  <c r="H109" i="26"/>
  <c r="H102" i="26"/>
  <c r="J121" i="30"/>
  <c r="K102" i="26"/>
  <c r="D123" i="30"/>
  <c r="F122" i="30"/>
  <c r="F123" i="26"/>
  <c r="C57" i="18"/>
  <c r="C129" i="26"/>
  <c r="D56" i="18"/>
  <c r="F56" i="18" s="1"/>
  <c r="N53" i="18"/>
  <c r="H110" i="37" l="1"/>
  <c r="H103" i="37"/>
  <c r="K109" i="26"/>
  <c r="D124" i="30"/>
  <c r="F124" i="30" s="1"/>
  <c r="F123" i="30"/>
  <c r="H103" i="26"/>
  <c r="H110" i="26"/>
  <c r="J122" i="30"/>
  <c r="D57" i="18"/>
  <c r="D58" i="18" s="1"/>
  <c r="C130" i="26"/>
  <c r="C58" i="18"/>
  <c r="F129" i="26"/>
  <c r="P53" i="18"/>
  <c r="O53" i="18"/>
  <c r="N51" i="18" s="1"/>
  <c r="H111" i="37" l="1"/>
  <c r="H104" i="37"/>
  <c r="H112" i="37"/>
  <c r="H105" i="37"/>
  <c r="H105" i="26"/>
  <c r="J123" i="30"/>
  <c r="J124" i="30" s="1"/>
  <c r="H111" i="26"/>
  <c r="H112" i="26"/>
  <c r="H104" i="26"/>
  <c r="C131" i="26"/>
  <c r="F57" i="18"/>
  <c r="F58" i="18" l="1"/>
  <c r="F130" i="26"/>
  <c r="F131" i="26" l="1"/>
</calcChain>
</file>

<file path=xl/comments1.xml><?xml version="1.0" encoding="utf-8"?>
<comments xmlns="http://schemas.openxmlformats.org/spreadsheetml/2006/main">
  <authors>
    <author>STIVINSON</author>
  </authors>
  <commentList>
    <comment ref="M29" authorId="0">
      <text>
        <r>
          <rPr>
            <b/>
            <sz val="9"/>
            <color indexed="81"/>
            <rFont val="Tahoma"/>
            <family val="2"/>
          </rPr>
          <t xml:space="preserve">CERTIFICADO: INM 3686 - 2018-11-02 </t>
        </r>
        <r>
          <rPr>
            <sz val="9"/>
            <color indexed="81"/>
            <rFont val="Tahoma"/>
            <family val="2"/>
          </rPr>
          <t xml:space="preserve">
</t>
        </r>
      </text>
    </comment>
    <comment ref="N29" authorId="0">
      <text>
        <r>
          <rPr>
            <b/>
            <sz val="9"/>
            <color indexed="81"/>
            <rFont val="Tahoma"/>
            <family val="2"/>
          </rPr>
          <t>CERTIFICADO: INM 2286 - 2016</t>
        </r>
        <r>
          <rPr>
            <sz val="9"/>
            <color indexed="81"/>
            <rFont val="Tahoma"/>
            <family val="2"/>
          </rPr>
          <t xml:space="preserve">
</t>
        </r>
      </text>
    </comment>
    <comment ref="N111" authorId="0">
      <text>
        <r>
          <rPr>
            <sz val="9"/>
            <color indexed="81"/>
            <rFont val="Tahoma"/>
            <family val="2"/>
          </rPr>
          <t>punto de calibración al 10% según certificado</t>
        </r>
      </text>
    </comment>
    <comment ref="O111" authorId="0">
      <text>
        <r>
          <rPr>
            <b/>
            <sz val="9"/>
            <color indexed="81"/>
            <rFont val="Tahoma"/>
            <family val="2"/>
          </rPr>
          <t>punto de calibración al 10% según certificado</t>
        </r>
        <r>
          <rPr>
            <sz val="9"/>
            <color indexed="81"/>
            <rFont val="Tahoma"/>
            <family val="2"/>
          </rPr>
          <t xml:space="preserve">
</t>
        </r>
      </text>
    </comment>
    <comment ref="Q111" authorId="0">
      <text>
        <r>
          <rPr>
            <b/>
            <sz val="9"/>
            <color indexed="81"/>
            <rFont val="Tahoma"/>
            <family val="2"/>
          </rPr>
          <t>punto de calibración al 50% según certificado</t>
        </r>
        <r>
          <rPr>
            <sz val="9"/>
            <color indexed="81"/>
            <rFont val="Tahoma"/>
            <family val="2"/>
          </rPr>
          <t xml:space="preserve">
</t>
        </r>
      </text>
    </comment>
    <comment ref="R111" authorId="0">
      <text>
        <r>
          <rPr>
            <b/>
            <sz val="9"/>
            <color indexed="81"/>
            <rFont val="Tahoma"/>
            <family val="2"/>
          </rPr>
          <t>punto de calibración al 50% según certificado</t>
        </r>
        <r>
          <rPr>
            <sz val="9"/>
            <color indexed="81"/>
            <rFont val="Tahoma"/>
            <family val="2"/>
          </rPr>
          <t xml:space="preserve">
</t>
        </r>
      </text>
    </comment>
    <comment ref="T111" authorId="0">
      <text>
        <r>
          <rPr>
            <b/>
            <sz val="9"/>
            <color indexed="81"/>
            <rFont val="Tahoma"/>
            <family val="2"/>
          </rPr>
          <t>punto de calibración al 100% según certificado</t>
        </r>
        <r>
          <rPr>
            <sz val="9"/>
            <color indexed="81"/>
            <rFont val="Tahoma"/>
            <family val="2"/>
          </rPr>
          <t xml:space="preserve">
</t>
        </r>
      </text>
    </comment>
    <comment ref="U111" authorId="0">
      <text>
        <r>
          <rPr>
            <b/>
            <sz val="9"/>
            <color indexed="81"/>
            <rFont val="Tahoma"/>
            <family val="2"/>
          </rPr>
          <t>punto de calibración al 100% según certificado</t>
        </r>
        <r>
          <rPr>
            <sz val="9"/>
            <color indexed="81"/>
            <rFont val="Tahoma"/>
            <family val="2"/>
          </rPr>
          <t xml:space="preserve">
</t>
        </r>
      </text>
    </comment>
    <comment ref="R120" authorId="0">
      <text>
        <r>
          <rPr>
            <sz val="9"/>
            <color indexed="81"/>
            <rFont val="Tahoma"/>
            <family val="2"/>
          </rPr>
          <t>punto de calibración al 10% según certificado</t>
        </r>
      </text>
    </comment>
    <comment ref="S120" authorId="0">
      <text>
        <r>
          <rPr>
            <b/>
            <sz val="9"/>
            <color indexed="81"/>
            <rFont val="Tahoma"/>
            <family val="2"/>
          </rPr>
          <t>punto de calibración al 10% según certificado</t>
        </r>
        <r>
          <rPr>
            <sz val="9"/>
            <color indexed="81"/>
            <rFont val="Tahoma"/>
            <family val="2"/>
          </rPr>
          <t xml:space="preserve">
</t>
        </r>
      </text>
    </comment>
    <comment ref="U120" authorId="0">
      <text>
        <r>
          <rPr>
            <b/>
            <sz val="9"/>
            <color indexed="81"/>
            <rFont val="Tahoma"/>
            <family val="2"/>
          </rPr>
          <t>punto de calibración al 50% según certificado</t>
        </r>
        <r>
          <rPr>
            <sz val="9"/>
            <color indexed="81"/>
            <rFont val="Tahoma"/>
            <family val="2"/>
          </rPr>
          <t xml:space="preserve">
</t>
        </r>
      </text>
    </comment>
    <comment ref="V120" authorId="0">
      <text>
        <r>
          <rPr>
            <b/>
            <sz val="9"/>
            <color indexed="81"/>
            <rFont val="Tahoma"/>
            <family val="2"/>
          </rPr>
          <t>punto de calibración al 50% según certificado</t>
        </r>
        <r>
          <rPr>
            <sz val="9"/>
            <color indexed="81"/>
            <rFont val="Tahoma"/>
            <family val="2"/>
          </rPr>
          <t xml:space="preserve">
</t>
        </r>
      </text>
    </comment>
    <comment ref="X120" authorId="0">
      <text>
        <r>
          <rPr>
            <b/>
            <sz val="9"/>
            <color indexed="81"/>
            <rFont val="Tahoma"/>
            <family val="2"/>
          </rPr>
          <t>punto de calibración al 100% según certificado</t>
        </r>
        <r>
          <rPr>
            <sz val="9"/>
            <color indexed="81"/>
            <rFont val="Tahoma"/>
            <family val="2"/>
          </rPr>
          <t xml:space="preserve">
</t>
        </r>
      </text>
    </comment>
    <comment ref="Y120" author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text>
        <r>
          <rPr>
            <b/>
            <sz val="9"/>
            <color indexed="81"/>
            <rFont val="Tahoma"/>
            <family val="2"/>
          </rPr>
          <t>ecuación 15 Euramet cg-21</t>
        </r>
        <r>
          <rPr>
            <sz val="9"/>
            <color indexed="81"/>
            <rFont val="Tahoma"/>
            <family val="2"/>
          </rPr>
          <t xml:space="preserve">
</t>
        </r>
      </text>
    </comment>
    <comment ref="B68" authorId="0">
      <text>
        <r>
          <rPr>
            <b/>
            <sz val="9"/>
            <color indexed="81"/>
            <rFont val="Tahoma"/>
            <family val="2"/>
          </rPr>
          <t xml:space="preserve">ecuación 16  Euramet cg-21
</t>
        </r>
        <r>
          <rPr>
            <sz val="9"/>
            <color indexed="81"/>
            <rFont val="Tahoma"/>
            <family val="2"/>
          </rPr>
          <t xml:space="preserve">
</t>
        </r>
      </text>
    </comment>
    <comment ref="B70" authorId="0">
      <text>
        <r>
          <rPr>
            <b/>
            <sz val="9"/>
            <color indexed="81"/>
            <rFont val="Tahoma"/>
            <family val="2"/>
          </rPr>
          <t xml:space="preserve">ecuación 17 Euramet cg-21
</t>
        </r>
      </text>
    </comment>
    <comment ref="B72" authorId="0">
      <text>
        <r>
          <rPr>
            <b/>
            <sz val="9"/>
            <color indexed="81"/>
            <rFont val="Tahoma"/>
            <family val="2"/>
          </rPr>
          <t xml:space="preserve">ecuación 18 Euramet cg-21
</t>
        </r>
      </text>
    </comment>
    <comment ref="B74" authorId="0">
      <text>
        <r>
          <rPr>
            <b/>
            <sz val="9"/>
            <color indexed="81"/>
            <rFont val="Tahoma"/>
            <family val="2"/>
          </rPr>
          <t xml:space="preserve">ecuación 19 Euramet cg-21
</t>
        </r>
      </text>
    </comment>
    <comment ref="B76" authorId="0">
      <text>
        <r>
          <rPr>
            <b/>
            <sz val="9"/>
            <color indexed="81"/>
            <rFont val="Tahoma"/>
            <family val="2"/>
          </rPr>
          <t xml:space="preserve">ecuación 20 Euramet cg-21
</t>
        </r>
      </text>
    </comment>
    <comment ref="B78" authorId="0">
      <text>
        <r>
          <rPr>
            <b/>
            <sz val="9"/>
            <color indexed="81"/>
            <rFont val="Tahoma"/>
            <family val="2"/>
          </rPr>
          <t xml:space="preserve">ecuación 21 Euramet cg-21
</t>
        </r>
      </text>
    </comment>
    <comment ref="B80" authorId="0">
      <text>
        <r>
          <rPr>
            <b/>
            <sz val="9"/>
            <color indexed="81"/>
            <rFont val="Tahoma"/>
            <family val="2"/>
          </rPr>
          <t xml:space="preserve">ecuación 22 Euramet cg-21
</t>
        </r>
      </text>
    </comment>
    <comment ref="B82" authorId="0">
      <text>
        <r>
          <rPr>
            <b/>
            <sz val="9"/>
            <color indexed="81"/>
            <rFont val="Tahoma"/>
            <family val="2"/>
          </rPr>
          <t xml:space="preserve">ecuación 23 Euramet cg-21
</t>
        </r>
      </text>
    </commen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<sst xmlns="http://schemas.openxmlformats.org/spreadsheetml/2006/main" count="1821" uniqueCount="613">
  <si>
    <t>RVC</t>
  </si>
  <si>
    <t>RVP</t>
  </si>
  <si>
    <t>Promedio</t>
  </si>
  <si>
    <t>°C</t>
  </si>
  <si>
    <t>mL</t>
  </si>
  <si>
    <t>Rectangular</t>
  </si>
  <si>
    <t>Euramet 21</t>
  </si>
  <si>
    <t>U</t>
  </si>
  <si>
    <t>E</t>
  </si>
  <si>
    <t>gal</t>
  </si>
  <si>
    <t>1/°C</t>
  </si>
  <si>
    <t>∞</t>
  </si>
  <si>
    <t xml:space="preserve"> </t>
  </si>
  <si>
    <t>cm</t>
  </si>
  <si>
    <t>NOMBRE</t>
  </si>
  <si>
    <t>CORRECCIÓN</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</si>
  <si>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</si>
  <si>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</si>
  <si>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</si>
  <si>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</si>
  <si>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</si>
  <si>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</si>
  <si>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</si>
  <si>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</si>
  <si>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</si>
  <si>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</si>
  <si>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</si>
  <si>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</si>
  <si>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</si>
  <si>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</si>
  <si>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</si>
  <si>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</si>
  <si>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</si>
  <si>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</si>
  <si>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</si>
  <si>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</si>
  <si>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</si>
  <si>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</si>
  <si>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</si>
  <si>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</si>
  <si>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</si>
  <si>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</si>
  <si>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</si>
  <si>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</si>
  <si>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</si>
  <si>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</si>
  <si>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</si>
  <si>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</si>
  <si>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</si>
  <si>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</si>
  <si>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</si>
  <si>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</si>
  <si>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Temperatura de referencia en el RVC (generalmente 20°C).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</si>
  <si>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</si>
  <si>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</si>
  <si>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</si>
  <si>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</si>
  <si>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</si>
  <si>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</si>
  <si>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</si>
  <si>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</si>
  <si>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</si>
  <si>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</si>
  <si>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</si>
  <si>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</si>
  <si>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</si>
  <si>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</si>
  <si>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</si>
  <si>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</si>
  <si>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</si>
  <si>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</si>
  <si>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</si>
  <si>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</si>
  <si>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</si>
  <si>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</si>
  <si>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</si>
  <si>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</si>
  <si>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</si>
  <si>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</si>
  <si>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</si>
  <si>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</si>
  <si>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</si>
  <si>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</si>
  <si>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</si>
  <si>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</si>
  <si>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</si>
  <si>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</si>
  <si>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</si>
  <si>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</si>
  <si>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</si>
  <si>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</si>
  <si>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</si>
  <si>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</si>
  <si>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</si>
  <si>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</si>
  <si>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</si>
  <si>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</si>
  <si>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</si>
  <si>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</si>
  <si>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</si>
  <si>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</si>
  <si>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</si>
  <si>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</si>
  <si>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</si>
  <si>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</si>
  <si>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</si>
  <si>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</si>
  <si>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</si>
  <si>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</si>
  <si>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</si>
  <si>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</si>
  <si>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</si>
  <si>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</si>
  <si>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</si>
  <si>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</si>
  <si>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</si>
  <si>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</si>
  <si>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</si>
  <si>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</si>
  <si>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</si>
  <si>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</si>
  <si>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</si>
  <si>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</si>
  <si>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</si>
  <si>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</si>
  <si>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</si>
  <si>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</si>
  <si>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</si>
  <si>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</si>
  <si>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</si>
  <si>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</si>
  <si>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</si>
  <si>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</si>
  <si>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</si>
  <si>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</si>
  <si>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</si>
  <si>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</si>
  <si>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</si>
  <si>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</si>
  <si>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</si>
  <si>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</si>
  <si>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</si>
  <si>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</si>
  <si>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</si>
  <si>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</si>
  <si>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</si>
  <si>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</si>
  <si>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</si>
  <si>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</si>
  <si>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</si>
  <si>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</si>
  <si>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</si>
  <si>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</si>
  <si>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</si>
  <si>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</si>
  <si>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</si>
  <si>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</si>
  <si>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</si>
  <si>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</si>
  <si>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</si>
  <si>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</si>
  <si>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</si>
  <si>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</si>
  <si>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</si>
  <si>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</si>
  <si>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</si>
  <si>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</si>
  <si>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</si>
  <si>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</si>
  <si>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</si>
  <si>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</si>
  <si>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</si>
  <si>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</si>
  <si>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</si>
  <si>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</si>
  <si>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</si>
  <si>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</si>
  <si>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</si>
  <si>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</si>
  <si>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</si>
  <si>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</si>
  <si>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</si>
  <si>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</si>
  <si>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</si>
  <si>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</si>
  <si>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</si>
  <si>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</si>
  <si>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</si>
  <si>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</si>
  <si>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</si>
  <si>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</si>
  <si>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</si>
  <si>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</si>
  <si>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</si>
  <si>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</si>
  <si>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</si>
  <si>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</si>
  <si>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</si>
  <si>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</si>
  <si>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</si>
  <si>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</si>
  <si>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</si>
  <si>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</si>
  <si>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</si>
  <si>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</si>
  <si>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</si>
  <si>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</si>
  <si>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</si>
  <si>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</si>
  <si>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</si>
  <si>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</si>
  <si>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</si>
  <si>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</si>
  <si>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</si>
  <si>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</si>
  <si>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</si>
  <si>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</si>
  <si>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</si>
  <si>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</si>
  <si>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</si>
  <si>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</si>
  <si>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</si>
  <si>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</si>
  <si>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</si>
  <si>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</si>
  <si>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</si>
  <si>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</si>
  <si>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</si>
  <si>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</si>
  <si>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</si>
  <si>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</si>
  <si>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</si>
  <si>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</si>
  <si>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</si>
  <si>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</si>
  <si>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</si>
  <si>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</si>
  <si>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</si>
  <si>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</si>
  <si>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</si>
  <si>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</si>
  <si>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</si>
  <si>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</si>
  <si>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</si>
  <si>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</si>
  <si>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</si>
  <si>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</si>
  <si>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</si>
  <si>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</si>
  <si>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</si>
  <si>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</si>
  <si>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</si>
  <si>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</si>
  <si>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</si>
  <si>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</si>
  <si>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</si>
  <si>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</si>
  <si>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</si>
  <si>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</si>
  <si>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</si>
  <si>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</si>
  <si>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</si>
  <si>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</si>
  <si>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</si>
  <si>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</si>
  <si>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</si>
  <si>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</si>
  <si>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</si>
  <si>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</si>
  <si>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V-13 Punto 100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</si>
  <si>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</si>
  <si>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</si>
  <si>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</si>
  <si>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</si>
  <si>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</si>
  <si>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</si>
  <si>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</si>
  <si>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</si>
  <si>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</si>
  <si>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</si>
  <si>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</si>
  <si>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</si>
  <si>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</si>
  <si>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</si>
  <si>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INM  3179</t>
  </si>
  <si>
    <t>INM   3176</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</si>
  <si>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</si>
  <si>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</si>
  <si>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</si>
  <si>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</si>
  <si>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</si>
  <si>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</si>
  <si>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</si>
  <si>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</si>
  <si>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</si>
  <si>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</si>
  <si>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</si>
  <si>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</si>
  <si>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</si>
  <si>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</si>
  <si>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</si>
  <si>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</si>
  <si>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</si>
  <si>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</si>
  <si>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</si>
  <si>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</si>
  <si>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</si>
  <si>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</si>
  <si>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</si>
  <si>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</si>
  <si>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</si>
  <si>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</si>
  <si>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</si>
  <si>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</si>
  <si>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</si>
  <si>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</si>
  <si>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</si>
  <si>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</si>
  <si>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</si>
  <si>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</si>
  <si>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</si>
  <si>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</si>
  <si>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</si>
  <si>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INM 3688</t>
  </si>
  <si>
    <t>V-003    Punto 4</t>
  </si>
  <si>
    <t>V-003    Punto 5</t>
  </si>
  <si>
    <t>C-I V-004</t>
  </si>
  <si>
    <t>C-I V-003</t>
  </si>
  <si>
    <t>Tipo de visor:</t>
  </si>
  <si>
    <t>Modelo:</t>
  </si>
  <si>
    <t>INM 3692</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</si>
  <si>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</si>
  <si>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</si>
  <si>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</si>
  <si>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</si>
  <si>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</si>
  <si>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</si>
  <si>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</si>
  <si>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</si>
  <si>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</si>
  <si>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</si>
  <si>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</si>
  <si>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</si>
  <si>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</si>
  <si>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</si>
  <si>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</si>
  <si>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</si>
  <si>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</si>
  <si>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</si>
  <si>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</si>
  <si>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</si>
  <si>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</si>
  <si>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</si>
  <si>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</si>
  <si>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</si>
  <si>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</si>
  <si>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</si>
  <si>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</si>
  <si>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</si>
  <si>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</si>
  <si>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</si>
  <si>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</si>
  <si>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</si>
  <si>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</si>
  <si>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</si>
  <si>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</si>
  <si>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</si>
  <si>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</si>
  <si>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</si>
  <si>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</si>
  <si>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</si>
  <si>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</si>
  <si>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</si>
  <si>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</si>
  <si>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</si>
  <si>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</si>
  <si>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</si>
  <si>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</si>
  <si>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</si>
  <si>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</si>
  <si>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</si>
  <si>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</si>
  <si>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</si>
  <si>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</si>
  <si>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</si>
  <si>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</si>
  <si>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</si>
  <si>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</si>
  <si>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</si>
  <si>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</si>
  <si>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</si>
  <si>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</si>
  <si>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</si>
  <si>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</si>
  <si>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</si>
  <si>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</si>
  <si>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</si>
  <si>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</si>
  <si>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</si>
  <si>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</si>
  <si>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</si>
  <si>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</si>
  <si>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</si>
  <si>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</si>
  <si>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</si>
  <si>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</si>
  <si>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</si>
  <si>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</si>
  <si>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</si>
  <si>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</si>
  <si>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</si>
  <si>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</si>
  <si>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</si>
  <si>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</si>
  <si>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</si>
  <si>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</si>
  <si>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</si>
  <si>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</si>
  <si>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</si>
  <si>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</si>
  <si>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</si>
  <si>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</si>
  <si>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</si>
  <si>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</si>
  <si>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</si>
  <si>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</si>
  <si>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</si>
  <si>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</si>
  <si>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</si>
  <si>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</si>
  <si>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</si>
  <si>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</si>
  <si>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</si>
  <si>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</si>
  <si>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</si>
  <si>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</si>
  <si>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</si>
  <si>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</si>
  <si>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</si>
  <si>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</si>
  <si>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</si>
  <si>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</si>
  <si>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</si>
  <si>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Recipiente Volumétrico</t>
  </si>
  <si>
    <t>Delta del volumen (mL)</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</si>
  <si>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</si>
  <si>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</si>
  <si>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</si>
  <si>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</si>
  <si>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</si>
  <si>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</si>
  <si>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</si>
  <si>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</si>
  <si>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</si>
  <si>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</si>
  <si>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</si>
  <si>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</si>
  <si>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</si>
  <si>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</si>
  <si>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</si>
  <si>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</si>
  <si>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</si>
  <si>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</si>
  <si>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</si>
  <si>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</si>
  <si>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</si>
  <si>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</si>
  <si>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</si>
  <si>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</si>
  <si>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|E|+U</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</si>
  <si>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</si>
  <si>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</si>
  <si>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</si>
  <si>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</si>
  <si>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</si>
  <si>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</si>
  <si>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</si>
  <si>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Código interno  (# de Radicado)</t>
  </si>
  <si>
    <t xml:space="preserve"> DATOS DEL RVP </t>
  </si>
  <si>
    <t xml:space="preserve"> DATOS DEL RVC </t>
  </si>
  <si>
    <t>Humedad relativa</t>
  </si>
  <si>
    <t>0,5 in3</t>
  </si>
  <si>
    <t>Puntos de calibración Actual (°C)</t>
  </si>
  <si>
    <t>Puntos de calibración Anterior (°C)</t>
  </si>
  <si>
    <t>Deriva °C</t>
  </si>
  <si>
    <t>Divisor</t>
  </si>
  <si>
    <t>%hr</t>
  </si>
  <si>
    <r>
      <t>|</t>
    </r>
    <r>
      <rPr>
        <b/>
        <sz val="11"/>
        <rFont val="Arial Narrow"/>
        <family val="2"/>
      </rPr>
      <t>E</t>
    </r>
    <r>
      <rPr>
        <b/>
        <i/>
        <sz val="11"/>
        <rFont val="Arial Narrow"/>
        <family val="2"/>
      </rPr>
      <t>|+U</t>
    </r>
  </si>
  <si>
    <r>
      <t>in</t>
    </r>
    <r>
      <rPr>
        <b/>
        <i/>
        <vertAlign val="superscript"/>
        <sz val="12"/>
        <rFont val="Arial"/>
        <family val="2"/>
      </rPr>
      <t>3</t>
    </r>
  </si>
  <si>
    <t>SC</t>
  </si>
  <si>
    <t>°C "m" Pendiente</t>
  </si>
  <si>
    <t>°C "b" Intersección</t>
  </si>
  <si>
    <t>hPa "m" Pendiente</t>
  </si>
  <si>
    <t>hPa "b" Intersección</t>
  </si>
  <si>
    <t>"La incertidumbre expandida de la medición reportada se establece como la incertidumbre estándar de medición multiplicada por el factor de cobertura "k",y la probabilidad de cobertura,  la cual debe ser aproximada al 95% y no menor a este valor".</t>
  </si>
  <si>
    <t>Fecha</t>
  </si>
  <si>
    <t>Mínimo</t>
  </si>
  <si>
    <t>Máximo</t>
  </si>
  <si>
    <t>RVM</t>
  </si>
  <si>
    <t>Mínimo corregido</t>
  </si>
  <si>
    <t>Máximo corregido</t>
  </si>
  <si>
    <t>Humedad Relativa % hr</t>
  </si>
  <si>
    <r>
      <t>Coeficiente cubico de expansión térmico del material ( °C</t>
    </r>
    <r>
      <rPr>
        <b/>
        <vertAlign val="superscript"/>
        <sz val="12"/>
        <rFont val="Arial"/>
        <family val="2"/>
      </rPr>
      <t>-1</t>
    </r>
    <r>
      <rPr>
        <b/>
        <sz val="12"/>
        <rFont val="Arial"/>
        <family val="2"/>
      </rPr>
      <t>)</t>
    </r>
  </si>
  <si>
    <r>
      <t>Coeficiente cubico de expansión térmico del material (IP)  ( °C</t>
    </r>
    <r>
      <rPr>
        <b/>
        <vertAlign val="superscript"/>
        <sz val="12"/>
        <rFont val="Arial"/>
        <family val="2"/>
      </rPr>
      <t>-1</t>
    </r>
    <r>
      <rPr>
        <b/>
        <sz val="12"/>
        <rFont val="Arial"/>
        <family val="2"/>
      </rPr>
      <t>)</t>
    </r>
  </si>
  <si>
    <r>
      <t xml:space="preserve">Unidades en   " °C ,  %hr  </t>
    </r>
    <r>
      <rPr>
        <sz val="12"/>
        <color theme="0"/>
        <rFont val="Arial"/>
        <family val="2"/>
      </rPr>
      <t>y</t>
    </r>
    <r>
      <rPr>
        <b/>
        <sz val="12"/>
        <color theme="0"/>
        <rFont val="Arial"/>
        <family val="2"/>
      </rPr>
      <t xml:space="preserve"> hPa " </t>
    </r>
    <r>
      <rPr>
        <sz val="12"/>
        <color theme="0"/>
        <rFont val="Arial"/>
        <family val="2"/>
      </rPr>
      <t xml:space="preserve"> según corresponda</t>
    </r>
  </si>
  <si>
    <r>
      <t>Intervalo de la escala RV en  ±10 in</t>
    </r>
    <r>
      <rPr>
        <b/>
        <vertAlign val="superscript"/>
        <sz val="12"/>
        <rFont val="Arial"/>
        <family val="2"/>
      </rPr>
      <t>3</t>
    </r>
  </si>
  <si>
    <r>
      <t xml:space="preserve">División de Escala  in </t>
    </r>
    <r>
      <rPr>
        <vertAlign val="superscript"/>
        <sz val="12"/>
        <rFont val="Arial"/>
        <family val="2"/>
      </rPr>
      <t>3</t>
    </r>
  </si>
  <si>
    <r>
      <t>0,25 in</t>
    </r>
    <r>
      <rPr>
        <vertAlign val="superscript"/>
        <sz val="12"/>
        <rFont val="Arial"/>
        <family val="2"/>
      </rPr>
      <t>3</t>
    </r>
  </si>
  <si>
    <r>
      <t>0,5 in</t>
    </r>
    <r>
      <rPr>
        <vertAlign val="superscript"/>
        <sz val="12"/>
        <rFont val="Arial"/>
        <family val="2"/>
      </rPr>
      <t>3</t>
    </r>
  </si>
  <si>
    <r>
      <t>1 in</t>
    </r>
    <r>
      <rPr>
        <vertAlign val="superscript"/>
        <sz val="12"/>
        <rFont val="Arial"/>
        <family val="2"/>
      </rPr>
      <t>3</t>
    </r>
  </si>
  <si>
    <r>
      <t>in</t>
    </r>
    <r>
      <rPr>
        <b/>
        <vertAlign val="superscript"/>
        <sz val="12"/>
        <rFont val="Arial"/>
        <family val="2"/>
      </rPr>
      <t>3</t>
    </r>
  </si>
  <si>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</si>
  <si>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</si>
  <si>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</si>
  <si>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</si>
  <si>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</si>
  <si>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Adicionar / Sustraer  (in</t>
    </r>
    <r>
      <rPr>
        <vertAlign val="superscript"/>
        <sz val="12"/>
        <color theme="1"/>
        <rFont val="Arial"/>
        <family val="2"/>
      </rPr>
      <t>3)</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</si>
  <si>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</si>
  <si>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</si>
  <si>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</si>
  <si>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</si>
  <si>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</si>
  <si>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</si>
  <si>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</si>
  <si>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</si>
  <si>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</si>
  <si>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</si>
  <si>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</si>
  <si>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</si>
  <si>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</si>
  <si>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</si>
  <si>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</si>
  <si>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</si>
  <si>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</si>
  <si>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</si>
  <si>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</si>
  <si>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</si>
  <si>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</si>
  <si>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</si>
  <si>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</si>
  <si>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</si>
  <si>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</si>
  <si>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</si>
  <si>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</si>
  <si>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</si>
  <si>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</si>
  <si>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</si>
  <si>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</si>
  <si>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r>
      <t>Coeficiente cubico de expansión térmico del material (°C</t>
    </r>
    <r>
      <rPr>
        <b/>
        <vertAlign val="superscript"/>
        <sz val="12"/>
        <rFont val="Arial"/>
        <family val="2"/>
      </rPr>
      <t>-1</t>
    </r>
    <r>
      <rPr>
        <b/>
        <sz val="12"/>
        <rFont val="Arial"/>
        <family val="2"/>
      </rPr>
      <t>)</t>
    </r>
  </si>
  <si>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</si>
  <si>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</si>
  <si>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</si>
  <si>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</si>
  <si>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</si>
  <si>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</si>
  <si>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</si>
  <si>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</si>
  <si>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</si>
  <si>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</si>
  <si>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</si>
  <si>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</si>
  <si>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</si>
  <si>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</si>
  <si>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</si>
  <si>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</si>
  <si>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</si>
  <si>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</si>
  <si>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</si>
  <si>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</si>
  <si>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</si>
  <si>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</si>
  <si>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</si>
  <si>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</si>
  <si>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</si>
  <si>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</si>
  <si>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</si>
  <si>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</si>
  <si>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</si>
  <si>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</si>
  <si>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r>
      <t>in</t>
    </r>
    <r>
      <rPr>
        <vertAlign val="superscript"/>
        <sz val="12"/>
        <color theme="0"/>
        <rFont val="Arial"/>
        <family val="2"/>
      </rPr>
      <t>3</t>
    </r>
  </si>
  <si>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</si>
  <si>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</si>
  <si>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</si>
  <si>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</si>
  <si>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</si>
  <si>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</si>
  <si>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</si>
  <si>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</si>
  <si>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</si>
  <si>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</si>
  <si>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</si>
  <si>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</si>
  <si>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</si>
  <si>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</si>
  <si>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</si>
  <si>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La escala fue verificada en el intervalo de medición 5 galones ±  1 %, ± 10 in3</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</si>
  <si>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</si>
  <si>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</si>
  <si>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</si>
  <si>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xml:space="preserve">(* RVC) Recipiente volumétrico calibrado         (*RVP) Recipiente volumétrico patrón  </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</si>
  <si>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</si>
  <si>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</si>
  <si>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</si>
  <si>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</si>
  <si>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r>
      <t>in</t>
    </r>
    <r>
      <rPr>
        <vertAlign val="superscript"/>
        <sz val="10"/>
        <color theme="0"/>
        <rFont val="Arial"/>
        <family val="2"/>
      </rPr>
      <t>3</t>
    </r>
  </si>
  <si>
    <t>Modificación al Certificado N°</t>
  </si>
  <si>
    <t>La incertidumbre estándar de medición se multiplica por un factor de cobertura "k"=1</t>
  </si>
  <si>
    <t>La verificación de la escala no hace parte del alcance reportado para el alcance acreditado</t>
  </si>
  <si>
    <t>LCV-XXX-XX</t>
  </si>
  <si>
    <t>LCV-radicado</t>
  </si>
  <si>
    <t>Máxima Deriva (mL)</t>
  </si>
  <si>
    <r>
      <t>in</t>
    </r>
    <r>
      <rPr>
        <vertAlign val="superscript"/>
        <sz val="10"/>
        <rFont val="Arial"/>
        <family val="2"/>
      </rPr>
      <t>3</t>
    </r>
  </si>
  <si>
    <t xml:space="preserve">Fecha: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</si>
</sst>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0_ \ &quot;%hr&quot;"/>
    <numFmt numFmtId="186" formatCode="0.E+00"/>
  </numFmts>
  <fonts count="75" x14ac:knownFonts="1">
    <font>
      <sz val="11"/>
      <color theme="1"/>
      <name val="Calibri"/>
      <family val="2"/>
      <scheme val="minor"/>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name val="Arial Narrow"/>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b/>
      <i/>
      <sz val="11"/>
      <name val="Arial Narrow"/>
      <family val="2"/>
    </font>
    <font>
      <b/>
      <i/>
      <sz val="10"/>
      <name val="Arial"/>
      <family val="2"/>
    </font>
    <font>
      <b/>
      <sz val="11"/>
      <name val="Arial Narrow"/>
      <family val="2"/>
    </font>
    <font>
      <i/>
      <sz val="12"/>
      <name val="Arial"/>
      <family val="2"/>
    </font>
    <font>
      <b/>
      <i/>
      <vertAlign val="superscript"/>
      <sz val="12"/>
      <name val="Arial"/>
      <family val="2"/>
    </font>
    <font>
      <sz val="12"/>
      <color rgb="FF9BC2E6"/>
      <name val="Arial"/>
      <family val="2"/>
    </font>
    <font>
      <b/>
      <vertAlign val="superscript"/>
      <sz val="12"/>
      <name val="Arial"/>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vertAlign val="superscript"/>
      <sz val="12"/>
      <color theme="0"/>
      <name val="Arial"/>
      <family val="2"/>
    </font>
    <font>
      <sz val="10"/>
      <color theme="0"/>
      <name val="Arial"/>
      <family val="2"/>
    </font>
    <font>
      <sz val="12"/>
      <color theme="0"/>
      <name val="Arial Narrow"/>
      <family val="2"/>
    </font>
    <font>
      <vertAlign val="superscript"/>
      <sz val="10"/>
      <color theme="0"/>
      <name val="Arial"/>
      <family val="2"/>
    </font>
    <font>
      <vertAlign val="superscript"/>
      <sz val="10"/>
      <name val="Arial"/>
      <family val="2"/>
    </font>
    <font>
      <b/>
      <sz val="12"/>
      <color theme="0"/>
      <name val="Arial Narrow"/>
      <family val="2"/>
    </font>
    <font>
      <sz val="11"/>
      <color theme="0"/>
      <name val="Calibri"/>
      <family val="2"/>
      <scheme val="minor"/>
    </font>
    <font>
      <b/>
      <sz val="11"/>
      <color theme="1"/>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rgb="FFFFF2CC"/>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1">
    <xf numFmtId="0" fontId="0" fillId="0" borderId="0"/>
    <xf numFmtId="0" fontId="7" fillId="10" borderId="0" applyNumberFormat="0" applyBorder="0" applyAlignment="0" applyProtection="0"/>
    <xf numFmtId="0" fontId="12" fillId="22" borderId="8">
      <alignment horizontal="center" vertical="center" wrapText="1"/>
    </xf>
    <xf numFmtId="0" fontId="12" fillId="14" borderId="8">
      <alignment horizontal="center" vertical="center" wrapText="1"/>
    </xf>
    <xf numFmtId="0" fontId="12" fillId="23" borderId="8">
      <alignment horizontal="center" vertical="center" wrapText="1"/>
    </xf>
    <xf numFmtId="0" fontId="6" fillId="2" borderId="0">
      <alignment horizontal="center"/>
    </xf>
    <xf numFmtId="0" fontId="6" fillId="24" borderId="0">
      <alignment horizontal="center"/>
    </xf>
    <xf numFmtId="0" fontId="12" fillId="9" borderId="9">
      <alignment horizontal="center"/>
    </xf>
    <xf numFmtId="0" fontId="38" fillId="10" borderId="0" applyNumberFormat="0" applyBorder="0" applyAlignment="0" applyProtection="0"/>
    <xf numFmtId="2" fontId="12" fillId="28" borderId="40" applyFont="0" applyBorder="0" applyAlignment="0">
      <alignment horizontal="center" vertical="center" wrapText="1"/>
      <protection locked="0"/>
    </xf>
    <xf numFmtId="0" fontId="2" fillId="29" borderId="9" applyBorder="0">
      <alignment horizontal="center" vertical="center"/>
    </xf>
  </cellStyleXfs>
  <cellXfs count="1708">
    <xf numFmtId="0" fontId="0" fillId="0" borderId="0" xfId="0"/>
    <xf numFmtId="0" fontId="8" fillId="8" borderId="47" xfId="0" applyFont="1" applyFill="1" applyBorder="1" applyAlignment="1" applyProtection="1">
      <alignment horizontal="center" vertical="center" wrapText="1"/>
      <protection hidden="1"/>
    </xf>
    <xf numFmtId="2" fontId="9" fillId="0" borderId="3" xfId="1" applyNumberFormat="1" applyFont="1" applyFill="1" applyBorder="1" applyAlignment="1" applyProtection="1">
      <alignment horizontal="center" vertical="center" wrapText="1"/>
      <protection hidden="1"/>
    </xf>
    <xf numFmtId="2" fontId="22" fillId="16" borderId="19" xfId="1" applyNumberFormat="1" applyFont="1" applyFill="1" applyBorder="1" applyAlignment="1" applyProtection="1">
      <alignment horizontal="center" vertical="center"/>
      <protection hidden="1"/>
    </xf>
    <xf numFmtId="2" fontId="22" fillId="16" borderId="22" xfId="1" applyNumberFormat="1" applyFont="1" applyFill="1" applyBorder="1" applyAlignment="1" applyProtection="1">
      <alignment horizontal="center" vertical="center" wrapText="1"/>
      <protection hidden="1"/>
    </xf>
    <xf numFmtId="2" fontId="11" fillId="16" borderId="22" xfId="1" applyNumberFormat="1"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5" fillId="16" borderId="19" xfId="0" applyFont="1" applyFill="1" applyBorder="1" applyAlignment="1" applyProtection="1">
      <alignment horizontal="center"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6" fillId="24" borderId="1" xfId="6" applyBorder="1" applyAlignment="1" applyProtection="1">
      <alignment horizontal="center" vertical="center"/>
      <protection locked="0" hidden="1"/>
    </xf>
    <xf numFmtId="14" fontId="12" fillId="15" borderId="22" xfId="0" applyNumberFormat="1" applyFont="1" applyFill="1" applyBorder="1" applyAlignment="1" applyProtection="1">
      <alignment horizontal="center" vertical="center" wrapText="1"/>
      <protection hidden="1"/>
    </xf>
    <xf numFmtId="0" fontId="5" fillId="16" borderId="22" xfId="0" applyFont="1" applyFill="1" applyBorder="1" applyAlignment="1" applyProtection="1">
      <alignment horizontal="center" vertical="center" wrapText="1"/>
      <protection hidden="1"/>
    </xf>
    <xf numFmtId="0" fontId="10" fillId="16" borderId="18"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5" fillId="21" borderId="7" xfId="0" applyFont="1" applyFill="1" applyBorder="1" applyAlignment="1" applyProtection="1">
      <alignment horizontal="center" vertical="center" wrapText="1"/>
      <protection hidden="1"/>
    </xf>
    <xf numFmtId="0" fontId="5" fillId="21" borderId="22" xfId="0" applyFont="1" applyFill="1" applyBorder="1" applyAlignment="1" applyProtection="1">
      <alignment horizontal="center" vertical="center" wrapText="1"/>
      <protection hidden="1"/>
    </xf>
    <xf numFmtId="0" fontId="5"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12"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12" fillId="19" borderId="22" xfId="0" applyNumberFormat="1" applyFont="1" applyFill="1" applyBorder="1" applyAlignment="1" applyProtection="1">
      <alignment horizontal="center" vertical="center" wrapText="1"/>
      <protection hidden="1"/>
    </xf>
    <xf numFmtId="1" fontId="12" fillId="15" borderId="22" xfId="0" applyNumberFormat="1" applyFont="1" applyFill="1" applyBorder="1" applyAlignment="1" applyProtection="1">
      <alignment horizontal="center" vertical="center" wrapText="1"/>
      <protection hidden="1"/>
    </xf>
    <xf numFmtId="167" fontId="12"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12" fillId="15" borderId="56" xfId="0" applyNumberFormat="1" applyFont="1" applyFill="1" applyBorder="1" applyAlignment="1" applyProtection="1">
      <alignment vertical="center" wrapText="1"/>
      <protection hidden="1"/>
    </xf>
    <xf numFmtId="2" fontId="12" fillId="15" borderId="57" xfId="0" applyNumberFormat="1" applyFont="1" applyFill="1" applyBorder="1" applyAlignment="1" applyProtection="1">
      <alignment vertical="center" wrapText="1"/>
      <protection hidden="1"/>
    </xf>
    <xf numFmtId="1" fontId="12" fillId="15" borderId="55" xfId="0" applyNumberFormat="1" applyFont="1" applyFill="1" applyBorder="1" applyAlignment="1" applyProtection="1">
      <alignment vertical="center" wrapText="1"/>
      <protection hidden="1"/>
    </xf>
    <xf numFmtId="1" fontId="12"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27"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3"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3"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6" fillId="24" borderId="1" xfId="6" applyNumberFormat="1" applyBorder="1" applyAlignment="1" applyProtection="1">
      <alignment horizontal="center" vertical="center"/>
      <protection locked="0" hidden="1"/>
    </xf>
    <xf numFmtId="0" fontId="30" fillId="25" borderId="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9" fillId="0" borderId="40"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0" fontId="33" fillId="0" borderId="0" xfId="0" applyFont="1" applyBorder="1" applyProtection="1">
      <protection hidden="1"/>
    </xf>
    <xf numFmtId="0" fontId="33" fillId="0" borderId="6" xfId="0" applyFont="1" applyBorder="1" applyProtection="1">
      <protection hidden="1"/>
    </xf>
    <xf numFmtId="0" fontId="33" fillId="0" borderId="8" xfId="0" applyFont="1" applyBorder="1" applyProtection="1">
      <protection hidden="1"/>
    </xf>
    <xf numFmtId="0" fontId="33" fillId="0" borderId="0" xfId="0" applyFont="1" applyProtection="1">
      <protection hidden="1"/>
    </xf>
    <xf numFmtId="170" fontId="33" fillId="0" borderId="0" xfId="0" applyNumberFormat="1" applyFont="1" applyProtection="1">
      <protection hidden="1"/>
    </xf>
    <xf numFmtId="0" fontId="33" fillId="0" borderId="0" xfId="0" applyFont="1" applyFill="1" applyBorder="1" applyAlignment="1" applyProtection="1">
      <protection hidden="1"/>
    </xf>
    <xf numFmtId="0" fontId="31" fillId="0" borderId="0" xfId="0" applyFont="1" applyProtection="1">
      <protection hidden="1"/>
    </xf>
    <xf numFmtId="0" fontId="33" fillId="0" borderId="0" xfId="0" applyFont="1" applyFill="1" applyBorder="1" applyProtection="1">
      <protection hidden="1"/>
    </xf>
    <xf numFmtId="0" fontId="33" fillId="0" borderId="0" xfId="0" applyFont="1" applyFill="1" applyProtection="1">
      <protection hidden="1"/>
    </xf>
    <xf numFmtId="0" fontId="33" fillId="0" borderId="2" xfId="0" applyFont="1" applyBorder="1" applyProtection="1">
      <protection hidden="1"/>
    </xf>
    <xf numFmtId="0" fontId="33" fillId="0" borderId="3" xfId="0" applyFont="1" applyBorder="1" applyProtection="1">
      <protection hidden="1"/>
    </xf>
    <xf numFmtId="0" fontId="33" fillId="0" borderId="3" xfId="0" applyFont="1" applyFill="1" applyBorder="1" applyAlignment="1" applyProtection="1">
      <alignment horizontal="center" vertical="center"/>
      <protection hidden="1"/>
    </xf>
    <xf numFmtId="2" fontId="33" fillId="0" borderId="3" xfId="0" applyNumberFormat="1" applyFont="1" applyFill="1" applyBorder="1" applyAlignment="1" applyProtection="1">
      <alignment horizontal="left" vertical="center"/>
      <protection hidden="1"/>
    </xf>
    <xf numFmtId="0" fontId="33" fillId="0" borderId="3" xfId="0" applyFont="1" applyFill="1" applyBorder="1" applyProtection="1">
      <protection hidden="1"/>
    </xf>
    <xf numFmtId="0" fontId="33" fillId="0" borderId="10" xfId="0" applyFont="1" applyBorder="1" applyProtection="1">
      <protection hidden="1"/>
    </xf>
    <xf numFmtId="170" fontId="33" fillId="0" borderId="0" xfId="0" applyNumberFormat="1" applyFont="1" applyBorder="1" applyProtection="1">
      <protection hidden="1"/>
    </xf>
    <xf numFmtId="0" fontId="33" fillId="0" borderId="49" xfId="0" applyFont="1" applyFill="1" applyBorder="1" applyProtection="1">
      <protection hidden="1"/>
    </xf>
    <xf numFmtId="0" fontId="31" fillId="0" borderId="0" xfId="0" applyFont="1" applyAlignment="1" applyProtection="1">
      <alignment horizontal="center" vertical="center" wrapText="1"/>
      <protection hidden="1"/>
    </xf>
    <xf numFmtId="0" fontId="33" fillId="0" borderId="3" xfId="0" applyFont="1" applyBorder="1" applyAlignment="1" applyProtection="1">
      <alignment vertical="center" textRotation="90" wrapText="1"/>
      <protection hidden="1"/>
    </xf>
    <xf numFmtId="0" fontId="33" fillId="0" borderId="7" xfId="0" applyFont="1" applyBorder="1" applyProtection="1">
      <protection hidden="1"/>
    </xf>
    <xf numFmtId="0" fontId="33" fillId="0" borderId="0" xfId="0" applyFont="1" applyBorder="1" applyAlignment="1" applyProtection="1">
      <alignment horizontal="center"/>
      <protection hidden="1"/>
    </xf>
    <xf numFmtId="0" fontId="33" fillId="2" borderId="0" xfId="0" applyFont="1" applyFill="1" applyBorder="1" applyProtection="1">
      <protection hidden="1"/>
    </xf>
    <xf numFmtId="0" fontId="33" fillId="2" borderId="5" xfId="0" applyFont="1" applyFill="1" applyBorder="1" applyProtection="1">
      <protection hidden="1"/>
    </xf>
    <xf numFmtId="0" fontId="33" fillId="0" borderId="29" xfId="0" applyFont="1" applyBorder="1" applyProtection="1">
      <protection hidden="1"/>
    </xf>
    <xf numFmtId="0" fontId="33" fillId="0" borderId="0" xfId="0" applyFont="1" applyBorder="1" applyAlignment="1" applyProtection="1">
      <alignment vertical="center"/>
      <protection hidden="1"/>
    </xf>
    <xf numFmtId="0" fontId="33" fillId="0" borderId="0" xfId="0" applyFont="1" applyBorder="1" applyAlignment="1" applyProtection="1">
      <alignment horizontal="center" vertical="center"/>
      <protection hidden="1"/>
    </xf>
    <xf numFmtId="0" fontId="33" fillId="0" borderId="24" xfId="0" applyFont="1" applyBorder="1" applyProtection="1">
      <protection hidden="1"/>
    </xf>
    <xf numFmtId="0" fontId="33" fillId="0" borderId="39" xfId="0" applyFont="1" applyBorder="1" applyProtection="1">
      <protection hidden="1"/>
    </xf>
    <xf numFmtId="0" fontId="33" fillId="0" borderId="47" xfId="0" applyFont="1" applyBorder="1" applyProtection="1">
      <protection hidden="1"/>
    </xf>
    <xf numFmtId="0" fontId="33" fillId="0" borderId="5" xfId="0" applyFont="1" applyBorder="1" applyAlignment="1" applyProtection="1">
      <alignment vertical="center"/>
      <protection hidden="1"/>
    </xf>
    <xf numFmtId="0" fontId="35" fillId="2" borderId="23" xfId="0" applyFont="1" applyFill="1" applyBorder="1" applyAlignment="1" applyProtection="1">
      <alignment horizontal="center" vertical="center" wrapText="1"/>
      <protection hidden="1"/>
    </xf>
    <xf numFmtId="0" fontId="33" fillId="2" borderId="3" xfId="0" applyFont="1" applyFill="1" applyBorder="1" applyProtection="1">
      <protection hidden="1"/>
    </xf>
    <xf numFmtId="0" fontId="33" fillId="2" borderId="6" xfId="0" applyFont="1" applyFill="1" applyBorder="1" applyProtection="1">
      <protection hidden="1"/>
    </xf>
    <xf numFmtId="0" fontId="33" fillId="2" borderId="7" xfId="0" applyFont="1" applyFill="1" applyBorder="1" applyProtection="1">
      <protection hidden="1"/>
    </xf>
    <xf numFmtId="0" fontId="33" fillId="0" borderId="7" xfId="0" applyFont="1" applyBorder="1" applyAlignment="1" applyProtection="1">
      <alignment horizontal="center" vertical="center"/>
      <protection hidden="1"/>
    </xf>
    <xf numFmtId="0" fontId="33" fillId="0" borderId="8" xfId="0" applyFont="1" applyBorder="1" applyAlignment="1" applyProtection="1">
      <alignment horizontal="center" vertical="center"/>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0" fontId="2" fillId="2" borderId="0" xfId="0" applyFont="1" applyFill="1" applyBorder="1" applyAlignment="1" applyProtection="1">
      <alignment horizontal="center"/>
      <protection hidden="1"/>
    </xf>
    <xf numFmtId="2" fontId="9" fillId="16" borderId="73" xfId="1" applyNumberFormat="1" applyFont="1" applyFill="1" applyBorder="1" applyAlignment="1" applyProtection="1">
      <alignment horizontal="center" vertical="center" wrapText="1"/>
      <protection hidden="1"/>
    </xf>
    <xf numFmtId="2" fontId="9" fillId="21" borderId="2" xfId="1" applyNumberFormat="1" applyFont="1" applyFill="1" applyBorder="1" applyAlignment="1" applyProtection="1">
      <alignment horizontal="center" vertical="center" wrapText="1"/>
      <protection hidden="1"/>
    </xf>
    <xf numFmtId="2" fontId="9" fillId="21" borderId="72" xfId="1" applyNumberFormat="1" applyFont="1" applyFill="1" applyBorder="1" applyAlignment="1" applyProtection="1">
      <alignment horizontal="center" vertical="center" wrapText="1"/>
      <protection hidden="1"/>
    </xf>
    <xf numFmtId="2" fontId="9" fillId="21" borderId="67" xfId="1" applyNumberFormat="1" applyFont="1" applyFill="1" applyBorder="1" applyAlignment="1" applyProtection="1">
      <alignment horizontal="center" vertical="center" wrapText="1"/>
      <protection hidden="1"/>
    </xf>
    <xf numFmtId="2" fontId="9" fillId="16" borderId="67" xfId="1" applyNumberFormat="1" applyFont="1" applyFill="1" applyBorder="1" applyAlignment="1" applyProtection="1">
      <alignment horizontal="center" vertical="center" wrapText="1"/>
      <protection hidden="1"/>
    </xf>
    <xf numFmtId="0" fontId="33" fillId="0" borderId="40" xfId="0" applyFont="1" applyBorder="1" applyProtection="1">
      <protection hidden="1"/>
    </xf>
    <xf numFmtId="0" fontId="33" fillId="0" borderId="44" xfId="0" applyFont="1" applyFill="1" applyBorder="1" applyProtection="1">
      <protection hidden="1"/>
    </xf>
    <xf numFmtId="0" fontId="33" fillId="0" borderId="37" xfId="0" applyFont="1" applyBorder="1" applyProtection="1">
      <protection hidden="1"/>
    </xf>
    <xf numFmtId="0" fontId="19" fillId="0" borderId="0"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vertical="center"/>
      <protection hidden="1"/>
    </xf>
    <xf numFmtId="0" fontId="33" fillId="0" borderId="19"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5"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4"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170" fontId="33" fillId="0" borderId="0" xfId="0" applyNumberFormat="1" applyFont="1" applyFill="1" applyBorder="1" applyProtection="1">
      <protection hidden="1"/>
    </xf>
    <xf numFmtId="2" fontId="2" fillId="2" borderId="0" xfId="0" applyNumberFormat="1" applyFont="1" applyFill="1" applyProtection="1">
      <protection hidden="1"/>
    </xf>
    <xf numFmtId="2" fontId="12" fillId="15" borderId="22" xfId="0" applyNumberFormat="1"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protection hidden="1"/>
    </xf>
    <xf numFmtId="170" fontId="33" fillId="7" borderId="44"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wrapText="1"/>
      <protection hidden="1"/>
    </xf>
    <xf numFmtId="0" fontId="9" fillId="7" borderId="44" xfId="0" applyFont="1" applyFill="1" applyBorder="1" applyAlignment="1" applyProtection="1">
      <alignment horizontal="center" vertical="center"/>
      <protection hidden="1"/>
    </xf>
    <xf numFmtId="0" fontId="33" fillId="7" borderId="40" xfId="0" applyFont="1" applyFill="1" applyBorder="1" applyAlignment="1" applyProtection="1">
      <alignment horizontal="center" vertical="center"/>
      <protection hidden="1"/>
    </xf>
    <xf numFmtId="0" fontId="33" fillId="7" borderId="32" xfId="0" applyFont="1" applyFill="1" applyBorder="1" applyAlignment="1" applyProtection="1">
      <alignment horizontal="center" vertical="center"/>
      <protection hidden="1"/>
    </xf>
    <xf numFmtId="0" fontId="33" fillId="7" borderId="43" xfId="0" applyFont="1" applyFill="1" applyBorder="1" applyAlignment="1" applyProtection="1">
      <alignment horizontal="center" vertical="center"/>
      <protection hidden="1"/>
    </xf>
    <xf numFmtId="0" fontId="33" fillId="31" borderId="1" xfId="0" applyFont="1" applyFill="1" applyBorder="1" applyAlignment="1" applyProtection="1">
      <alignment horizontal="center" vertical="center"/>
      <protection hidden="1"/>
    </xf>
    <xf numFmtId="0" fontId="8" fillId="17" borderId="19" xfId="0" applyFont="1" applyFill="1" applyBorder="1" applyAlignment="1" applyProtection="1">
      <alignment horizontal="center" vertical="center" wrapText="1"/>
      <protection hidden="1"/>
    </xf>
    <xf numFmtId="0" fontId="8" fillId="17" borderId="22" xfId="0" applyFont="1" applyFill="1" applyBorder="1" applyAlignment="1" applyProtection="1">
      <alignment horizontal="center" vertical="center"/>
      <protection hidden="1"/>
    </xf>
    <xf numFmtId="0" fontId="8" fillId="17" borderId="22" xfId="0" applyFont="1" applyFill="1" applyBorder="1" applyAlignment="1" applyProtection="1">
      <alignment horizontal="center" vertical="center" wrapText="1"/>
      <protection hidden="1"/>
    </xf>
    <xf numFmtId="0" fontId="8" fillId="17" borderId="2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166" fontId="2" fillId="7" borderId="18" xfId="0" applyNumberFormat="1" applyFont="1" applyFill="1" applyBorder="1" applyAlignment="1" applyProtection="1">
      <alignment horizontal="center" vertical="center" wrapText="1"/>
      <protection hidden="1"/>
    </xf>
    <xf numFmtId="166" fontId="32"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167" fontId="2" fillId="19" borderId="9" xfId="0" applyNumberFormat="1" applyFont="1" applyFill="1" applyBorder="1" applyAlignment="1" applyProtection="1">
      <alignment horizontal="center" vertical="center" wrapText="1"/>
      <protection hidden="1"/>
    </xf>
    <xf numFmtId="167" fontId="36" fillId="19" borderId="34"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vertical="center" wrapText="1"/>
      <protection hidden="1"/>
    </xf>
    <xf numFmtId="0" fontId="2" fillId="2" borderId="0" xfId="0" applyFont="1" applyFill="1" applyBorder="1" applyAlignment="1" applyProtection="1">
      <alignment vertical="center" wrapText="1"/>
      <protection locked="0" hidden="1"/>
    </xf>
    <xf numFmtId="170" fontId="12" fillId="19" borderId="22" xfId="0" applyNumberFormat="1" applyFont="1" applyFill="1" applyBorder="1" applyAlignment="1" applyProtection="1">
      <alignment horizontal="centerContinuous" vertical="center" wrapText="1"/>
      <protection hidden="1"/>
    </xf>
    <xf numFmtId="1" fontId="12" fillId="6" borderId="28" xfId="0" applyNumberFormat="1" applyFont="1" applyFill="1" applyBorder="1" applyAlignment="1" applyProtection="1">
      <alignment horizontal="center" vertical="center" wrapText="1"/>
      <protection locked="0"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0" fillId="7" borderId="71" xfId="0" applyFont="1" applyFill="1" applyBorder="1" applyAlignment="1" applyProtection="1">
      <alignment horizontal="center" vertical="center" wrapText="1"/>
      <protection hidden="1"/>
    </xf>
    <xf numFmtId="167" fontId="20" fillId="7" borderId="1"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0" fontId="36"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6" fillId="7" borderId="41"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7" borderId="44" xfId="0" applyFont="1" applyFill="1" applyBorder="1" applyAlignment="1" applyProtection="1">
      <alignment horizontal="center" vertical="center" wrapText="1"/>
      <protection hidden="1"/>
    </xf>
    <xf numFmtId="0" fontId="36" fillId="7" borderId="37" xfId="0"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169" fontId="20" fillId="5" borderId="1" xfId="0" applyNumberFormat="1" applyFont="1" applyFill="1" applyBorder="1" applyAlignment="1" applyProtection="1">
      <alignment horizontal="center" vertical="center"/>
      <protection hidden="1"/>
    </xf>
    <xf numFmtId="169" fontId="20" fillId="2" borderId="49" xfId="0" applyNumberFormat="1" applyFont="1" applyFill="1" applyBorder="1" applyAlignment="1" applyProtection="1">
      <alignment vertical="center"/>
      <protection hidden="1"/>
    </xf>
    <xf numFmtId="169" fontId="20" fillId="2" borderId="49" xfId="0" applyNumberFormat="1" applyFont="1" applyFill="1" applyBorder="1" applyAlignment="1" applyProtection="1">
      <alignment vertical="center" wrapText="1"/>
      <protection hidden="1"/>
    </xf>
    <xf numFmtId="0" fontId="2" fillId="7" borderId="9" xfId="0" applyFont="1" applyFill="1" applyBorder="1" applyAlignment="1" applyProtection="1">
      <alignment horizontal="center" vertical="center"/>
      <protection hidden="1"/>
    </xf>
    <xf numFmtId="14" fontId="33" fillId="7" borderId="9" xfId="0" applyNumberFormat="1" applyFont="1" applyFill="1" applyBorder="1" applyAlignment="1" applyProtection="1">
      <alignment horizontal="center" vertical="center" wrapText="1"/>
      <protection hidden="1"/>
    </xf>
    <xf numFmtId="0" fontId="33" fillId="0" borderId="10" xfId="0" applyFont="1" applyBorder="1" applyAlignment="1" applyProtection="1">
      <alignment horizontal="center"/>
      <protection hidden="1"/>
    </xf>
    <xf numFmtId="0" fontId="33" fillId="0" borderId="47" xfId="0" applyFont="1" applyBorder="1" applyAlignment="1" applyProtection="1">
      <alignment horizontal="center"/>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wrapText="1"/>
      <protection hidden="1"/>
    </xf>
    <xf numFmtId="49" fontId="2" fillId="32" borderId="1" xfId="0" applyNumberFormat="1" applyFont="1" applyFill="1" applyBorder="1" applyAlignment="1" applyProtection="1">
      <alignment horizontal="center" vertical="center"/>
      <protection locked="0" hidden="1"/>
    </xf>
    <xf numFmtId="0" fontId="1" fillId="14" borderId="22" xfId="0" applyFont="1" applyFill="1" applyBorder="1" applyAlignment="1" applyProtection="1">
      <alignment horizontal="center" vertical="center" wrapText="1"/>
      <protection hidden="1"/>
    </xf>
    <xf numFmtId="0" fontId="9" fillId="0" borderId="0" xfId="0" applyFont="1" applyAlignment="1" applyProtection="1">
      <alignment horizontal="right"/>
      <protection hidden="1"/>
    </xf>
    <xf numFmtId="0" fontId="45" fillId="0" borderId="0" xfId="0" applyFont="1" applyBorder="1" applyAlignment="1" applyProtection="1">
      <alignment vertical="center" wrapText="1"/>
      <protection hidden="1"/>
    </xf>
    <xf numFmtId="0" fontId="45" fillId="0" borderId="0" xfId="0" applyFont="1" applyBorder="1" applyAlignment="1" applyProtection="1">
      <alignment horizontal="left" vertical="center" wrapText="1"/>
      <protection hidden="1"/>
    </xf>
    <xf numFmtId="0" fontId="31" fillId="0" borderId="0" xfId="0" applyFont="1" applyBorder="1" applyAlignment="1" applyProtection="1">
      <alignment vertical="center" wrapText="1"/>
      <protection hidden="1"/>
    </xf>
    <xf numFmtId="0" fontId="31" fillId="0" borderId="0" xfId="0" applyFont="1" applyBorder="1" applyProtection="1">
      <protection hidden="1"/>
    </xf>
    <xf numFmtId="0" fontId="33" fillId="0" borderId="0" xfId="0" applyFont="1" applyAlignment="1" applyProtection="1">
      <alignment horizontal="center" vertical="center" wrapText="1"/>
      <protection hidden="1"/>
    </xf>
    <xf numFmtId="0" fontId="33" fillId="0" borderId="0" xfId="0" applyFont="1" applyAlignment="1" applyProtection="1">
      <alignment vertical="center" wrapText="1"/>
      <protection hidden="1"/>
    </xf>
    <xf numFmtId="0" fontId="31" fillId="0" borderId="0" xfId="0" applyFont="1" applyBorder="1" applyAlignment="1" applyProtection="1">
      <protection hidden="1"/>
    </xf>
    <xf numFmtId="0" fontId="33" fillId="0" borderId="0" xfId="0" applyFont="1" applyBorder="1" applyAlignment="1" applyProtection="1">
      <protection hidden="1"/>
    </xf>
    <xf numFmtId="0" fontId="33" fillId="2" borderId="0" xfId="0" applyFont="1" applyFill="1" applyAlignment="1" applyProtection="1">
      <alignment vertical="center" wrapText="1"/>
      <protection hidden="1"/>
    </xf>
    <xf numFmtId="0" fontId="9" fillId="0" borderId="0" xfId="0" applyFont="1" applyAlignment="1" applyProtection="1">
      <alignment vertical="center"/>
      <protection hidden="1"/>
    </xf>
    <xf numFmtId="0" fontId="31" fillId="0" borderId="0" xfId="0" applyFont="1" applyAlignment="1" applyProtection="1">
      <alignment vertical="justify" wrapText="1"/>
      <protection hidden="1"/>
    </xf>
    <xf numFmtId="1" fontId="9" fillId="0" borderId="0" xfId="0" applyNumberFormat="1" applyFont="1" applyAlignment="1" applyProtection="1">
      <alignment horizontal="center"/>
      <protection hidden="1"/>
    </xf>
    <xf numFmtId="0" fontId="47" fillId="0" borderId="0" xfId="0" applyFont="1" applyAlignment="1" applyProtection="1">
      <alignment horizontal="left" vertical="center" wrapText="1"/>
      <protection hidden="1"/>
    </xf>
    <xf numFmtId="0" fontId="47" fillId="0" borderId="0" xfId="0" applyFont="1" applyAlignment="1" applyProtection="1">
      <alignment horizontal="justify" vertical="justify" wrapText="1"/>
      <protection hidden="1"/>
    </xf>
    <xf numFmtId="0" fontId="47" fillId="0" borderId="0" xfId="0" applyFont="1" applyProtection="1">
      <protection hidden="1"/>
    </xf>
    <xf numFmtId="0" fontId="48" fillId="0" borderId="0" xfId="0" applyFont="1" applyAlignment="1" applyProtection="1">
      <alignment horizontal="justify" vertical="center"/>
      <protection hidden="1"/>
    </xf>
    <xf numFmtId="0" fontId="49" fillId="0" borderId="0" xfId="0" applyFont="1" applyAlignment="1" applyProtection="1">
      <alignment horizontal="center"/>
      <protection hidden="1"/>
    </xf>
    <xf numFmtId="0" fontId="50" fillId="0" borderId="0"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left"/>
      <protection hidden="1"/>
    </xf>
    <xf numFmtId="0" fontId="45" fillId="0" borderId="0" xfId="0" applyFont="1" applyAlignment="1" applyProtection="1">
      <alignment horizontal="left" vertical="center"/>
      <protection hidden="1"/>
    </xf>
    <xf numFmtId="0" fontId="31" fillId="0" borderId="0" xfId="0" applyFont="1" applyAlignment="1" applyProtection="1">
      <alignment horizontal="justify" vertical="justify" wrapText="1"/>
      <protection hidden="1"/>
    </xf>
    <xf numFmtId="0" fontId="33" fillId="0" borderId="0" xfId="0" applyFont="1" applyAlignment="1" applyProtection="1">
      <alignment horizontal="right" vertical="top" wrapText="1"/>
      <protection hidden="1"/>
    </xf>
    <xf numFmtId="0" fontId="33" fillId="0" borderId="0" xfId="0" applyFont="1" applyFill="1" applyAlignment="1" applyProtection="1">
      <alignment horizontal="left" wrapText="1"/>
      <protection hidden="1"/>
    </xf>
    <xf numFmtId="0" fontId="33" fillId="0" borderId="0" xfId="0" applyFont="1" applyFill="1" applyAlignment="1" applyProtection="1">
      <alignment horizontal="left" vertical="center" wrapText="1"/>
      <protection hidden="1"/>
    </xf>
    <xf numFmtId="0" fontId="33" fillId="0" borderId="0" xfId="0" applyFont="1" applyFill="1" applyAlignment="1" applyProtection="1">
      <alignment horizontal="justify" vertical="justify" wrapText="1"/>
      <protection hidden="1"/>
    </xf>
    <xf numFmtId="0" fontId="51" fillId="0" borderId="0" xfId="0" applyFont="1" applyProtection="1">
      <protection hidden="1"/>
    </xf>
    <xf numFmtId="0" fontId="9" fillId="0" borderId="0" xfId="0" applyFont="1" applyAlignment="1" applyProtection="1">
      <alignment horizontal="left" vertical="center"/>
      <protection hidden="1"/>
    </xf>
    <xf numFmtId="0" fontId="45" fillId="0" borderId="0" xfId="0" applyFont="1" applyBorder="1" applyAlignment="1" applyProtection="1">
      <alignment horizontal="center" vertical="center" wrapText="1"/>
      <protection hidden="1"/>
    </xf>
    <xf numFmtId="0" fontId="52" fillId="0" borderId="0" xfId="0" applyFont="1" applyProtection="1">
      <protection hidden="1"/>
    </xf>
    <xf numFmtId="0" fontId="31" fillId="0" borderId="0" xfId="0" applyFont="1" applyBorder="1" applyAlignment="1" applyProtection="1">
      <alignment horizontal="center" vertical="center" wrapText="1"/>
      <protection hidden="1"/>
    </xf>
    <xf numFmtId="0" fontId="31" fillId="2" borderId="0" xfId="0" applyFont="1" applyFill="1" applyBorder="1" applyProtection="1">
      <protection hidden="1"/>
    </xf>
    <xf numFmtId="0" fontId="51" fillId="2" borderId="0" xfId="0" applyFont="1" applyFill="1" applyBorder="1" applyProtection="1">
      <protection hidden="1"/>
    </xf>
    <xf numFmtId="0" fontId="50" fillId="0" borderId="0" xfId="0" applyFont="1" applyAlignment="1" applyProtection="1">
      <alignment horizontal="left" vertical="center"/>
      <protection hidden="1"/>
    </xf>
    <xf numFmtId="0" fontId="51" fillId="0" borderId="0" xfId="0" applyFont="1" applyAlignment="1" applyProtection="1">
      <alignment horizontal="justify" vertical="justify" wrapText="1"/>
      <protection hidden="1"/>
    </xf>
    <xf numFmtId="0" fontId="11" fillId="0" borderId="2" xfId="0" applyFont="1" applyBorder="1" applyAlignment="1" applyProtection="1">
      <alignment horizontal="centerContinuous" vertical="center" wrapText="1"/>
      <protection hidden="1"/>
    </xf>
    <xf numFmtId="0" fontId="11" fillId="0" borderId="71" xfId="0" applyFont="1" applyFill="1" applyBorder="1" applyAlignment="1" applyProtection="1">
      <alignment horizontal="centerContinuous" vertical="center" wrapText="1"/>
      <protection hidden="1"/>
    </xf>
    <xf numFmtId="0" fontId="11" fillId="0" borderId="1" xfId="0" applyFont="1" applyFill="1" applyBorder="1" applyAlignment="1" applyProtection="1">
      <alignment horizontal="center" vertical="center"/>
      <protection hidden="1"/>
    </xf>
    <xf numFmtId="0" fontId="53" fillId="0" borderId="1" xfId="0" applyFont="1" applyFill="1" applyBorder="1" applyAlignment="1" applyProtection="1">
      <alignment horizontal="center" vertical="center" wrapText="1"/>
      <protection hidden="1"/>
    </xf>
    <xf numFmtId="182" fontId="19" fillId="0" borderId="71" xfId="0" applyNumberFormat="1" applyFont="1" applyBorder="1" applyAlignment="1" applyProtection="1">
      <alignment horizontal="center" vertical="center" wrapText="1"/>
      <protection hidden="1"/>
    </xf>
    <xf numFmtId="167" fontId="19" fillId="0" borderId="1" xfId="0" applyNumberFormat="1" applyFont="1" applyFill="1" applyBorder="1" applyAlignment="1" applyProtection="1">
      <alignment horizontal="centerContinuous" vertical="center" wrapText="1"/>
      <protection hidden="1"/>
    </xf>
    <xf numFmtId="167" fontId="31" fillId="0" borderId="1" xfId="0" applyNumberFormat="1" applyFont="1" applyFill="1" applyBorder="1" applyAlignment="1" applyProtection="1">
      <alignment horizontal="center" vertical="center" wrapText="1"/>
      <protection hidden="1"/>
    </xf>
    <xf numFmtId="183" fontId="19" fillId="0" borderId="71" xfId="0" applyNumberFormat="1" applyFont="1" applyBorder="1" applyAlignment="1" applyProtection="1">
      <alignment horizontal="center" vertical="center" wrapText="1"/>
      <protection hidden="1"/>
    </xf>
    <xf numFmtId="2" fontId="31" fillId="0" borderId="1" xfId="0" applyNumberFormat="1" applyFont="1" applyFill="1" applyBorder="1" applyAlignment="1" applyProtection="1">
      <alignment horizontal="center" vertical="center" wrapText="1"/>
      <protection hidden="1"/>
    </xf>
    <xf numFmtId="165" fontId="19" fillId="2" borderId="1" xfId="0" applyNumberFormat="1" applyFont="1" applyFill="1" applyBorder="1" applyAlignment="1" applyProtection="1">
      <alignment horizontal="center" vertical="center" wrapText="1"/>
      <protection hidden="1"/>
    </xf>
    <xf numFmtId="165" fontId="31" fillId="0" borderId="1" xfId="0" applyNumberFormat="1" applyFont="1" applyFill="1" applyBorder="1" applyAlignment="1" applyProtection="1">
      <alignment horizontal="center" vertical="center" wrapText="1"/>
      <protection hidden="1"/>
    </xf>
    <xf numFmtId="166" fontId="19" fillId="2" borderId="1" xfId="0" applyNumberFormat="1" applyFont="1" applyFill="1" applyBorder="1" applyAlignment="1" applyProtection="1">
      <alignment horizontal="center" vertical="center" wrapText="1"/>
      <protection hidden="1"/>
    </xf>
    <xf numFmtId="166" fontId="31" fillId="0" borderId="1" xfId="0" applyNumberFormat="1" applyFont="1" applyFill="1" applyBorder="1" applyAlignment="1" applyProtection="1">
      <alignment horizontal="center" vertical="center" wrapText="1"/>
      <protection hidden="1"/>
    </xf>
    <xf numFmtId="175" fontId="19" fillId="0" borderId="0" xfId="0" applyNumberFormat="1" applyFont="1" applyFill="1" applyBorder="1" applyAlignment="1" applyProtection="1">
      <alignment horizontal="centerContinuous" vertical="center" wrapText="1"/>
      <protection hidden="1"/>
    </xf>
    <xf numFmtId="0" fontId="19" fillId="0" borderId="0" xfId="0" applyFont="1" applyFill="1" applyBorder="1" applyAlignment="1" applyProtection="1">
      <alignment horizontal="centerContinuous" vertical="center" wrapText="1"/>
      <protection hidden="1"/>
    </xf>
    <xf numFmtId="1" fontId="19" fillId="0" borderId="0" xfId="0" applyNumberFormat="1" applyFont="1" applyFill="1" applyBorder="1" applyAlignment="1" applyProtection="1">
      <alignment horizontal="center" vertical="center" wrapText="1"/>
      <protection hidden="1"/>
    </xf>
    <xf numFmtId="165" fontId="19" fillId="2" borderId="0" xfId="0" applyNumberFormat="1" applyFont="1" applyFill="1" applyBorder="1" applyAlignment="1" applyProtection="1">
      <alignment horizontal="center" vertical="center" wrapText="1"/>
      <protection hidden="1"/>
    </xf>
    <xf numFmtId="167" fontId="19" fillId="0" borderId="0" xfId="0" applyNumberFormat="1" applyFont="1" applyFill="1" applyBorder="1" applyAlignment="1" applyProtection="1">
      <alignment horizontal="centerContinuous" vertical="center" wrapText="1"/>
      <protection hidden="1"/>
    </xf>
    <xf numFmtId="0" fontId="19" fillId="0" borderId="0" xfId="0" applyFont="1" applyFill="1" applyProtection="1">
      <protection hidden="1"/>
    </xf>
    <xf numFmtId="0" fontId="11" fillId="0" borderId="2" xfId="0" applyFont="1" applyFill="1" applyBorder="1" applyAlignment="1" applyProtection="1">
      <alignment horizontal="centerContinuous" vertical="center" wrapText="1"/>
      <protection hidden="1"/>
    </xf>
    <xf numFmtId="0" fontId="11" fillId="0" borderId="4" xfId="0" applyFont="1" applyFill="1" applyBorder="1" applyAlignment="1" applyProtection="1">
      <alignment horizontal="centerContinuous" vertical="center" wrapText="1"/>
      <protection hidden="1"/>
    </xf>
    <xf numFmtId="167" fontId="19" fillId="0" borderId="1" xfId="0" applyNumberFormat="1" applyFont="1" applyFill="1" applyBorder="1" applyAlignment="1" applyProtection="1">
      <alignment horizontal="center" vertical="center" wrapText="1"/>
      <protection hidden="1"/>
    </xf>
    <xf numFmtId="0" fontId="31" fillId="2" borderId="0" xfId="0" applyFont="1" applyFill="1" applyProtection="1">
      <protection hidden="1"/>
    </xf>
    <xf numFmtId="167" fontId="31" fillId="2" borderId="0" xfId="0" applyNumberFormat="1" applyFont="1" applyFill="1" applyProtection="1">
      <protection hidden="1"/>
    </xf>
    <xf numFmtId="2" fontId="33" fillId="2" borderId="0" xfId="0" applyNumberFormat="1" applyFont="1" applyFill="1" applyProtection="1">
      <protection hidden="1"/>
    </xf>
    <xf numFmtId="167" fontId="9" fillId="0" borderId="1" xfId="0" applyNumberFormat="1" applyFont="1" applyBorder="1" applyAlignment="1" applyProtection="1">
      <alignment horizontal="center" vertical="center" wrapText="1"/>
      <protection hidden="1"/>
    </xf>
    <xf numFmtId="167" fontId="33" fillId="0" borderId="0" xfId="0" applyNumberFormat="1" applyFont="1" applyProtection="1">
      <protection hidden="1"/>
    </xf>
    <xf numFmtId="167" fontId="31" fillId="0" borderId="0" xfId="0" applyNumberFormat="1" applyFont="1" applyProtection="1">
      <protection hidden="1"/>
    </xf>
    <xf numFmtId="0" fontId="56" fillId="0" borderId="0" xfId="0" applyFont="1" applyAlignment="1" applyProtection="1">
      <alignment horizontal="left" vertical="center" wrapText="1"/>
      <protection hidden="1"/>
    </xf>
    <xf numFmtId="2" fontId="9" fillId="0" borderId="58" xfId="0" applyNumberFormat="1" applyFont="1" applyBorder="1" applyAlignment="1" applyProtection="1">
      <alignment horizontal="center" wrapText="1"/>
      <protection hidden="1"/>
    </xf>
    <xf numFmtId="0" fontId="36" fillId="0" borderId="68" xfId="0" applyFont="1" applyFill="1" applyBorder="1" applyAlignment="1" applyProtection="1">
      <alignment horizontal="center" wrapText="1"/>
      <protection hidden="1"/>
    </xf>
    <xf numFmtId="166" fontId="9" fillId="0" borderId="35" xfId="0" applyNumberFormat="1" applyFont="1" applyBorder="1" applyAlignment="1" applyProtection="1">
      <alignment horizontal="center" wrapText="1"/>
      <protection hidden="1"/>
    </xf>
    <xf numFmtId="0" fontId="36" fillId="0" borderId="66" xfId="0" applyFont="1" applyFill="1" applyBorder="1" applyAlignment="1" applyProtection="1">
      <alignment horizontal="center" wrapText="1"/>
      <protection hidden="1"/>
    </xf>
    <xf numFmtId="0" fontId="36" fillId="0" borderId="69" xfId="0" applyFont="1" applyFill="1" applyBorder="1" applyAlignment="1" applyProtection="1">
      <alignment horizontal="center" wrapText="1"/>
      <protection hidden="1"/>
    </xf>
    <xf numFmtId="0" fontId="31" fillId="0" borderId="0" xfId="0" applyFont="1" applyFill="1" applyProtection="1">
      <protection hidden="1"/>
    </xf>
    <xf numFmtId="0" fontId="31" fillId="14" borderId="0" xfId="0" applyFont="1" applyFill="1" applyProtection="1">
      <protection hidden="1"/>
    </xf>
    <xf numFmtId="0" fontId="51" fillId="14" borderId="0" xfId="0" applyFont="1" applyFill="1" applyAlignment="1" applyProtection="1">
      <alignment horizontal="left" vertical="justify" wrapText="1"/>
      <protection hidden="1"/>
    </xf>
    <xf numFmtId="0" fontId="51" fillId="0" borderId="0" xfId="0" applyFont="1" applyAlignment="1" applyProtection="1">
      <alignment horizontal="left" vertical="justify" wrapText="1"/>
      <protection hidden="1"/>
    </xf>
    <xf numFmtId="0" fontId="31" fillId="0" borderId="0" xfId="0" applyFont="1" applyAlignment="1" applyProtection="1">
      <alignment horizontal="left"/>
      <protection hidden="1"/>
    </xf>
    <xf numFmtId="0" fontId="33" fillId="0" borderId="0" xfId="0" applyFont="1" applyFill="1" applyAlignment="1" applyProtection="1">
      <protection hidden="1"/>
    </xf>
    <xf numFmtId="166" fontId="9" fillId="0" borderId="56" xfId="0" applyNumberFormat="1" applyFont="1" applyBorder="1" applyAlignment="1" applyProtection="1">
      <alignment horizontal="center" wrapText="1"/>
      <protection hidden="1"/>
    </xf>
    <xf numFmtId="166" fontId="33" fillId="0" borderId="0" xfId="0" applyNumberFormat="1" applyFont="1" applyProtection="1">
      <protection hidden="1"/>
    </xf>
    <xf numFmtId="0" fontId="2" fillId="0" borderId="0" xfId="0" applyFont="1"/>
    <xf numFmtId="0" fontId="8" fillId="0" borderId="0" xfId="0" applyFont="1" applyFill="1" applyBorder="1" applyAlignment="1">
      <alignment horizontal="center" vertical="center"/>
    </xf>
    <xf numFmtId="0" fontId="35" fillId="0" borderId="0" xfId="0" applyFont="1" applyFill="1"/>
    <xf numFmtId="0" fontId="2" fillId="0" borderId="0" xfId="0" applyFont="1" applyAlignment="1">
      <alignment vertical="center"/>
    </xf>
    <xf numFmtId="22" fontId="2" fillId="0" borderId="0" xfId="0" applyNumberFormat="1" applyFont="1" applyAlignment="1">
      <alignment vertical="center" wrapText="1"/>
    </xf>
    <xf numFmtId="0" fontId="2" fillId="0" borderId="0" xfId="0" applyFont="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167" fontId="1"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170" fontId="2" fillId="0" borderId="0" xfId="0" applyNumberFormat="1" applyFont="1" applyFill="1" applyBorder="1" applyAlignment="1">
      <alignment vertical="center"/>
    </xf>
    <xf numFmtId="22" fontId="2" fillId="0" borderId="0" xfId="0" applyNumberFormat="1" applyFont="1" applyFill="1" applyBorder="1" applyAlignment="1">
      <alignment horizontal="center" vertical="center" wrapText="1"/>
    </xf>
    <xf numFmtId="0" fontId="33" fillId="14"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3" fillId="14" borderId="44" xfId="0" applyFont="1" applyFill="1" applyBorder="1" applyAlignment="1" applyProtection="1">
      <alignment horizontal="center" vertical="center" wrapText="1"/>
      <protection hidden="1"/>
    </xf>
    <xf numFmtId="0" fontId="9" fillId="0" borderId="0" xfId="0" applyFont="1" applyBorder="1" applyAlignment="1" applyProtection="1">
      <alignment vertical="center"/>
      <protection hidden="1"/>
    </xf>
    <xf numFmtId="170" fontId="9" fillId="0" borderId="0" xfId="0" applyNumberFormat="1" applyFont="1" applyBorder="1" applyAlignment="1" applyProtection="1">
      <alignment vertical="center"/>
      <protection hidden="1"/>
    </xf>
    <xf numFmtId="0" fontId="33" fillId="0" borderId="0" xfId="0" applyFont="1" applyFill="1" applyBorder="1" applyAlignment="1" applyProtection="1">
      <alignment vertical="center"/>
      <protection hidden="1"/>
    </xf>
    <xf numFmtId="0" fontId="33" fillId="2" borderId="39" xfId="0" applyFont="1" applyFill="1" applyBorder="1" applyAlignment="1" applyProtection="1">
      <alignment horizontal="center"/>
      <protection hidden="1"/>
    </xf>
    <xf numFmtId="0" fontId="33" fillId="2" borderId="40" xfId="0" applyFont="1" applyFill="1" applyBorder="1" applyAlignment="1" applyProtection="1">
      <alignment horizontal="center"/>
      <protection hidden="1"/>
    </xf>
    <xf numFmtId="0" fontId="33" fillId="2" borderId="40" xfId="0" applyFont="1" applyFill="1" applyBorder="1" applyProtection="1">
      <protection hidden="1"/>
    </xf>
    <xf numFmtId="0" fontId="33" fillId="0" borderId="41" xfId="0" applyFont="1" applyBorder="1" applyProtection="1">
      <protection hidden="1"/>
    </xf>
    <xf numFmtId="170" fontId="33" fillId="32" borderId="9" xfId="0" applyNumberFormat="1"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wrapText="1"/>
      <protection locked="0" hidden="1"/>
    </xf>
    <xf numFmtId="0" fontId="33" fillId="32" borderId="34" xfId="0" applyFont="1" applyFill="1" applyBorder="1" applyAlignment="1" applyProtection="1">
      <alignment horizontal="center" vertical="center"/>
      <protection locked="0" hidden="1"/>
    </xf>
    <xf numFmtId="0" fontId="33" fillId="2" borderId="43" xfId="0" applyFont="1" applyFill="1" applyBorder="1" applyAlignment="1" applyProtection="1">
      <alignment horizontal="center"/>
      <protection hidden="1"/>
    </xf>
    <xf numFmtId="0" fontId="33" fillId="2" borderId="44" xfId="0" applyFont="1" applyFill="1" applyBorder="1" applyAlignment="1" applyProtection="1">
      <alignment horizontal="center"/>
      <protection hidden="1"/>
    </xf>
    <xf numFmtId="170" fontId="33" fillId="2" borderId="44" xfId="0" applyNumberFormat="1" applyFont="1" applyFill="1" applyBorder="1" applyAlignment="1" applyProtection="1">
      <alignment horizontal="center"/>
      <protection hidden="1"/>
    </xf>
    <xf numFmtId="0" fontId="33" fillId="0" borderId="39"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protection hidden="1"/>
    </xf>
    <xf numFmtId="170" fontId="33" fillId="0" borderId="0" xfId="0" applyNumberFormat="1" applyFont="1" applyFill="1" applyBorder="1" applyAlignment="1" applyProtection="1">
      <alignment horizontal="center"/>
      <protection hidden="1"/>
    </xf>
    <xf numFmtId="2" fontId="33" fillId="7" borderId="9" xfId="0" applyNumberFormat="1" applyFont="1" applyFill="1" applyBorder="1" applyAlignment="1" applyProtection="1">
      <alignment vertical="center"/>
      <protection hidden="1"/>
    </xf>
    <xf numFmtId="0" fontId="33" fillId="7" borderId="9" xfId="0" applyFont="1" applyFill="1" applyBorder="1" applyAlignment="1" applyProtection="1">
      <alignment vertical="center"/>
      <protection hidden="1"/>
    </xf>
    <xf numFmtId="0" fontId="33" fillId="7" borderId="11" xfId="0" applyFont="1" applyFill="1" applyBorder="1" applyAlignment="1" applyProtection="1">
      <alignment vertical="center"/>
      <protection hidden="1"/>
    </xf>
    <xf numFmtId="0" fontId="33" fillId="7" borderId="34" xfId="0" applyFont="1" applyFill="1" applyBorder="1" applyAlignment="1" applyProtection="1">
      <alignment vertical="center" wrapText="1"/>
      <protection hidden="1"/>
    </xf>
    <xf numFmtId="2" fontId="33" fillId="7" borderId="44" xfId="0" applyNumberFormat="1" applyFont="1" applyFill="1" applyBorder="1" applyAlignment="1" applyProtection="1">
      <alignment vertical="center"/>
      <protection hidden="1"/>
    </xf>
    <xf numFmtId="0" fontId="33" fillId="7" borderId="44" xfId="0" applyFont="1" applyFill="1" applyBorder="1" applyAlignment="1" applyProtection="1">
      <alignment vertical="center"/>
      <protection hidden="1"/>
    </xf>
    <xf numFmtId="2" fontId="9" fillId="16" borderId="1" xfId="1" applyNumberFormat="1" applyFont="1" applyFill="1" applyBorder="1" applyAlignment="1" applyProtection="1">
      <alignment horizontal="center" vertical="center" wrapText="1"/>
      <protection hidden="1"/>
    </xf>
    <xf numFmtId="2" fontId="9" fillId="16" borderId="20" xfId="1" applyNumberFormat="1" applyFont="1" applyFill="1" applyBorder="1" applyAlignment="1" applyProtection="1">
      <alignment horizontal="center" vertical="center" wrapText="1"/>
      <protection hidden="1"/>
    </xf>
    <xf numFmtId="2" fontId="9" fillId="21" borderId="20" xfId="1" applyNumberFormat="1" applyFont="1" applyFill="1" applyBorder="1" applyAlignment="1" applyProtection="1">
      <alignment horizontal="center" vertical="center" wrapText="1"/>
      <protection hidden="1"/>
    </xf>
    <xf numFmtId="0" fontId="33" fillId="2" borderId="40" xfId="0" applyFont="1" applyFill="1" applyBorder="1" applyAlignment="1" applyProtection="1">
      <alignment horizontal="center" vertical="center" wrapText="1"/>
      <protection hidden="1"/>
    </xf>
    <xf numFmtId="2" fontId="6" fillId="24" borderId="1" xfId="6" applyNumberFormat="1" applyFont="1" applyBorder="1" applyAlignment="1" applyProtection="1">
      <alignment horizontal="center" vertical="center"/>
      <protection locked="0" hidden="1"/>
    </xf>
    <xf numFmtId="1" fontId="6" fillId="24" borderId="1" xfId="6" applyNumberFormat="1" applyFont="1" applyBorder="1" applyAlignment="1" applyProtection="1">
      <alignment horizontal="center" vertical="center"/>
      <protection locked="0" hidden="1"/>
    </xf>
    <xf numFmtId="0" fontId="33" fillId="2" borderId="41"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protection hidden="1"/>
    </xf>
    <xf numFmtId="0" fontId="2" fillId="32" borderId="9" xfId="0" applyFont="1" applyFill="1" applyBorder="1" applyAlignment="1" applyProtection="1">
      <alignment horizontal="center" vertical="center" wrapText="1"/>
      <protection locked="0" hidden="1"/>
    </xf>
    <xf numFmtId="170" fontId="2" fillId="32" borderId="9" xfId="0" applyNumberFormat="1" applyFont="1" applyFill="1" applyBorder="1" applyAlignment="1" applyProtection="1">
      <alignment horizontal="center" vertical="center" wrapText="1"/>
      <protection locked="0" hidden="1"/>
    </xf>
    <xf numFmtId="49" fontId="2" fillId="32" borderId="9" xfId="0" applyNumberFormat="1" applyFont="1" applyFill="1" applyBorder="1" applyAlignment="1" applyProtection="1">
      <alignment horizontal="center" vertical="center" wrapText="1"/>
      <protection locked="0" hidden="1"/>
    </xf>
    <xf numFmtId="1" fontId="2" fillId="7" borderId="9" xfId="0" applyNumberFormat="1" applyFont="1" applyFill="1" applyBorder="1" applyAlignment="1" applyProtection="1">
      <alignment horizontal="center" vertical="center" wrapText="1"/>
      <protection hidden="1"/>
    </xf>
    <xf numFmtId="172" fontId="2" fillId="7" borderId="9" xfId="0" applyNumberFormat="1" applyFont="1" applyFill="1" applyBorder="1" applyAlignment="1" applyProtection="1">
      <alignment horizontal="center" vertical="center" wrapText="1"/>
      <protection hidden="1"/>
    </xf>
    <xf numFmtId="2" fontId="2" fillId="7" borderId="12" xfId="0" applyNumberFormat="1" applyFont="1" applyFill="1" applyBorder="1" applyAlignment="1" applyProtection="1">
      <alignment horizontal="center" vertical="center" wrapText="1"/>
      <protection hidden="1"/>
    </xf>
    <xf numFmtId="0" fontId="2" fillId="7" borderId="34" xfId="0" applyFont="1" applyFill="1" applyBorder="1" applyAlignment="1" applyProtection="1">
      <alignment horizontal="center" vertical="center"/>
      <protection hidden="1"/>
    </xf>
    <xf numFmtId="0" fontId="33" fillId="2" borderId="55" xfId="0" applyFont="1" applyFill="1" applyBorder="1" applyAlignment="1" applyProtection="1">
      <alignment horizontal="center"/>
      <protection hidden="1"/>
    </xf>
    <xf numFmtId="0" fontId="33" fillId="21" borderId="1" xfId="0" applyFont="1" applyFill="1" applyBorder="1" applyAlignment="1" applyProtection="1">
      <alignment horizontal="center" vertical="center"/>
      <protection hidden="1"/>
    </xf>
    <xf numFmtId="0" fontId="33" fillId="2" borderId="57" xfId="0" applyFont="1" applyFill="1" applyBorder="1" applyAlignment="1" applyProtection="1">
      <alignment horizontal="center"/>
      <protection hidden="1"/>
    </xf>
    <xf numFmtId="0" fontId="33" fillId="2" borderId="37" xfId="0" applyFont="1" applyFill="1" applyBorder="1" applyAlignment="1" applyProtection="1">
      <alignment horizontal="center"/>
      <protection hidden="1"/>
    </xf>
    <xf numFmtId="170" fontId="33" fillId="0" borderId="0" xfId="0" applyNumberFormat="1" applyFont="1" applyBorder="1" applyAlignment="1" applyProtection="1">
      <alignment horizontal="center"/>
      <protection hidden="1"/>
    </xf>
    <xf numFmtId="0" fontId="33" fillId="32" borderId="68" xfId="0" applyFont="1" applyFill="1" applyBorder="1" applyAlignment="1" applyProtection="1">
      <alignment horizontal="center" vertical="center"/>
      <protection locked="0" hidden="1"/>
    </xf>
    <xf numFmtId="0" fontId="33" fillId="32" borderId="66" xfId="0" applyFont="1" applyFill="1" applyBorder="1" applyAlignment="1" applyProtection="1">
      <alignment horizontal="center" vertical="center"/>
      <protection locked="0" hidden="1"/>
    </xf>
    <xf numFmtId="0" fontId="33" fillId="32" borderId="69" xfId="0" applyFont="1" applyFill="1" applyBorder="1" applyAlignment="1" applyProtection="1">
      <alignment horizontal="center" vertical="center"/>
      <protection locked="0" hidden="1"/>
    </xf>
    <xf numFmtId="0" fontId="9" fillId="18" borderId="19" xfId="0" applyFont="1" applyFill="1" applyBorder="1" applyAlignment="1" applyProtection="1">
      <alignment horizontal="center" vertical="center" wrapText="1"/>
      <protection hidden="1"/>
    </xf>
    <xf numFmtId="0" fontId="9" fillId="18" borderId="22" xfId="0" applyFont="1" applyFill="1" applyBorder="1" applyAlignment="1" applyProtection="1">
      <alignment horizontal="center" vertical="center" wrapText="1"/>
      <protection hidden="1"/>
    </xf>
    <xf numFmtId="170" fontId="9" fillId="18" borderId="22" xfId="0" applyNumberFormat="1" applyFont="1" applyFill="1" applyBorder="1" applyAlignment="1" applyProtection="1">
      <alignment horizontal="center" vertical="center" wrapText="1"/>
      <protection hidden="1"/>
    </xf>
    <xf numFmtId="0" fontId="9" fillId="7" borderId="39" xfId="0" applyFont="1" applyFill="1" applyBorder="1" applyAlignment="1" applyProtection="1">
      <alignment horizontal="center" vertical="center" wrapText="1"/>
      <protection hidden="1"/>
    </xf>
    <xf numFmtId="0" fontId="33" fillId="7" borderId="40" xfId="0" applyFont="1" applyFill="1" applyBorder="1" applyAlignment="1" applyProtection="1">
      <alignment horizontal="center" vertical="center" wrapText="1"/>
      <protection hidden="1"/>
    </xf>
    <xf numFmtId="2" fontId="33" fillId="7" borderId="40" xfId="0" applyNumberFormat="1" applyFont="1" applyFill="1" applyBorder="1" applyAlignment="1" applyProtection="1">
      <alignment horizontal="center" vertical="center" wrapText="1"/>
      <protection hidden="1"/>
    </xf>
    <xf numFmtId="164" fontId="33" fillId="7" borderId="40" xfId="0" applyNumberFormat="1" applyFont="1" applyFill="1" applyBorder="1" applyAlignment="1" applyProtection="1">
      <alignment horizontal="center" vertical="center" wrapText="1"/>
      <protection hidden="1"/>
    </xf>
    <xf numFmtId="165" fontId="33" fillId="7" borderId="40" xfId="0" applyNumberFormat="1" applyFont="1" applyFill="1" applyBorder="1" applyAlignment="1" applyProtection="1">
      <alignment horizontal="center" vertical="center" wrapText="1"/>
      <protection hidden="1"/>
    </xf>
    <xf numFmtId="0" fontId="9" fillId="7" borderId="43"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wrapText="1"/>
      <protection hidden="1"/>
    </xf>
    <xf numFmtId="2" fontId="33" fillId="7" borderId="44" xfId="0" applyNumberFormat="1" applyFont="1" applyFill="1" applyBorder="1" applyAlignment="1" applyProtection="1">
      <alignment horizontal="center" vertical="center" wrapText="1"/>
      <protection hidden="1"/>
    </xf>
    <xf numFmtId="165" fontId="33" fillId="7" borderId="44" xfId="0" applyNumberFormat="1" applyFont="1" applyFill="1" applyBorder="1" applyAlignment="1" applyProtection="1">
      <alignment horizontal="center" vertical="center" wrapText="1"/>
      <protection hidden="1"/>
    </xf>
    <xf numFmtId="0" fontId="9" fillId="5" borderId="19"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protection hidden="1"/>
    </xf>
    <xf numFmtId="0" fontId="33" fillId="0" borderId="4" xfId="0" applyFont="1" applyBorder="1" applyProtection="1">
      <protection hidden="1"/>
    </xf>
    <xf numFmtId="0" fontId="9" fillId="7" borderId="39" xfId="0" applyFont="1" applyFill="1" applyBorder="1" applyAlignment="1" applyProtection="1">
      <alignment horizontal="center" vertical="center"/>
      <protection hidden="1"/>
    </xf>
    <xf numFmtId="178" fontId="33" fillId="7" borderId="40" xfId="0" applyNumberFormat="1" applyFont="1" applyFill="1" applyBorder="1" applyAlignment="1" applyProtection="1">
      <alignment horizontal="center" vertical="center"/>
      <protection hidden="1"/>
    </xf>
    <xf numFmtId="2" fontId="33" fillId="7" borderId="40" xfId="0" applyNumberFormat="1" applyFont="1" applyFill="1" applyBorder="1" applyAlignment="1" applyProtection="1">
      <alignment horizontal="center" vertical="center"/>
      <protection hidden="1"/>
    </xf>
    <xf numFmtId="167" fontId="33" fillId="7" borderId="40" xfId="0" applyNumberFormat="1" applyFont="1" applyFill="1" applyBorder="1" applyAlignment="1" applyProtection="1">
      <alignment horizontal="center" vertical="center"/>
      <protection hidden="1"/>
    </xf>
    <xf numFmtId="170" fontId="33" fillId="7" borderId="40" xfId="0" applyNumberFormat="1" applyFont="1" applyFill="1" applyBorder="1" applyAlignment="1" applyProtection="1">
      <alignment horizontal="center" vertical="center"/>
      <protection hidden="1"/>
    </xf>
    <xf numFmtId="14" fontId="33" fillId="7" borderId="41" xfId="0" applyNumberFormat="1" applyFont="1" applyFill="1" applyBorder="1" applyAlignment="1" applyProtection="1">
      <alignment horizontal="center" vertical="center"/>
      <protection hidden="1"/>
    </xf>
    <xf numFmtId="0" fontId="9" fillId="7" borderId="43" xfId="0" applyFont="1" applyFill="1" applyBorder="1" applyAlignment="1" applyProtection="1">
      <alignment horizontal="center" vertical="center"/>
      <protection hidden="1"/>
    </xf>
    <xf numFmtId="2" fontId="33" fillId="7" borderId="44" xfId="0" applyNumberFormat="1" applyFont="1" applyFill="1" applyBorder="1" applyAlignment="1" applyProtection="1">
      <alignment horizontal="center" vertical="center"/>
      <protection hidden="1"/>
    </xf>
    <xf numFmtId="14" fontId="33" fillId="7" borderId="37" xfId="0" applyNumberFormat="1" applyFont="1" applyFill="1" applyBorder="1" applyAlignment="1" applyProtection="1">
      <alignment horizontal="center" vertical="center"/>
      <protection hidden="1"/>
    </xf>
    <xf numFmtId="2" fontId="33" fillId="0" borderId="0" xfId="0" applyNumberFormat="1" applyFont="1" applyBorder="1" applyAlignment="1" applyProtection="1">
      <alignment horizontal="center" vertical="center"/>
      <protection hidden="1"/>
    </xf>
    <xf numFmtId="170" fontId="33" fillId="0" borderId="3" xfId="0" applyNumberFormat="1" applyFont="1" applyBorder="1" applyAlignment="1" applyProtection="1">
      <alignment horizontal="center" vertical="center"/>
      <protection hidden="1"/>
    </xf>
    <xf numFmtId="1" fontId="33" fillId="7" borderId="39" xfId="0" applyNumberFormat="1" applyFont="1" applyFill="1" applyBorder="1" applyAlignment="1" applyProtection="1">
      <alignment vertical="center" wrapText="1"/>
      <protection hidden="1"/>
    </xf>
    <xf numFmtId="166" fontId="33" fillId="7" borderId="40" xfId="0" applyNumberFormat="1" applyFont="1" applyFill="1" applyBorder="1" applyAlignment="1" applyProtection="1">
      <alignment horizontal="center" vertical="center"/>
      <protection hidden="1"/>
    </xf>
    <xf numFmtId="170" fontId="33" fillId="7" borderId="41" xfId="0" applyNumberFormat="1" applyFont="1" applyFill="1" applyBorder="1" applyAlignment="1" applyProtection="1">
      <alignment horizontal="center" vertical="center"/>
      <protection hidden="1"/>
    </xf>
    <xf numFmtId="165" fontId="58" fillId="7" borderId="39" xfId="0" applyNumberFormat="1" applyFont="1" applyFill="1" applyBorder="1" applyAlignment="1" applyProtection="1">
      <alignment horizontal="center" vertical="center"/>
      <protection hidden="1"/>
    </xf>
    <xf numFmtId="1" fontId="33" fillId="7" borderId="32" xfId="0" applyNumberFormat="1" applyFont="1" applyFill="1" applyBorder="1" applyAlignment="1" applyProtection="1">
      <alignment vertical="center" wrapText="1"/>
      <protection hidden="1"/>
    </xf>
    <xf numFmtId="166" fontId="33" fillId="7" borderId="9" xfId="0" applyNumberFormat="1" applyFont="1" applyFill="1" applyBorder="1" applyAlignment="1" applyProtection="1">
      <alignment horizontal="center" vertical="center"/>
      <protection hidden="1"/>
    </xf>
    <xf numFmtId="170" fontId="33" fillId="7" borderId="34" xfId="0" applyNumberFormat="1" applyFont="1" applyFill="1" applyBorder="1" applyAlignment="1" applyProtection="1">
      <alignment horizontal="center" vertical="center"/>
      <protection hidden="1"/>
    </xf>
    <xf numFmtId="165" fontId="58" fillId="7" borderId="32" xfId="0" applyNumberFormat="1" applyFont="1" applyFill="1" applyBorder="1" applyAlignment="1" applyProtection="1">
      <alignment horizontal="center" vertical="center"/>
      <protection hidden="1"/>
    </xf>
    <xf numFmtId="165" fontId="9" fillId="7" borderId="32" xfId="0" applyNumberFormat="1" applyFont="1" applyFill="1" applyBorder="1" applyAlignment="1" applyProtection="1">
      <alignment horizontal="center" vertical="center"/>
      <protection hidden="1"/>
    </xf>
    <xf numFmtId="1" fontId="33" fillId="7" borderId="43" xfId="0" applyNumberFormat="1" applyFont="1" applyFill="1" applyBorder="1" applyAlignment="1" applyProtection="1">
      <alignment vertical="center" wrapText="1"/>
      <protection hidden="1"/>
    </xf>
    <xf numFmtId="170" fontId="33" fillId="7" borderId="37" xfId="0" applyNumberFormat="1" applyFont="1" applyFill="1" applyBorder="1" applyAlignment="1" applyProtection="1">
      <alignment horizontal="center" vertical="center"/>
      <protection hidden="1"/>
    </xf>
    <xf numFmtId="165" fontId="58" fillId="7" borderId="43" xfId="0" applyNumberFormat="1" applyFont="1" applyFill="1" applyBorder="1" applyAlignment="1" applyProtection="1">
      <alignment horizontal="center" vertical="center"/>
      <protection hidden="1"/>
    </xf>
    <xf numFmtId="170" fontId="33" fillId="0" borderId="0" xfId="0" applyNumberFormat="1" applyFont="1" applyBorder="1" applyAlignment="1" applyProtection="1">
      <alignment horizontal="center" vertical="center"/>
      <protection hidden="1"/>
    </xf>
    <xf numFmtId="0" fontId="9" fillId="5" borderId="15" xfId="0" applyFont="1" applyFill="1" applyBorder="1" applyAlignment="1" applyProtection="1">
      <alignment horizontal="center" vertical="center" wrapText="1"/>
      <protection hidden="1"/>
    </xf>
    <xf numFmtId="0" fontId="9" fillId="5" borderId="51" xfId="0" applyFont="1" applyFill="1" applyBorder="1" applyAlignment="1" applyProtection="1">
      <alignment horizontal="center" vertical="center" wrapText="1"/>
      <protection hidden="1"/>
    </xf>
    <xf numFmtId="170" fontId="9" fillId="5" borderId="65" xfId="0" applyNumberFormat="1" applyFont="1" applyFill="1" applyBorder="1" applyAlignment="1" applyProtection="1">
      <alignment horizontal="center" vertical="center" wrapText="1"/>
      <protection hidden="1"/>
    </xf>
    <xf numFmtId="0" fontId="9" fillId="5" borderId="65" xfId="0" applyFont="1" applyFill="1" applyBorder="1" applyAlignment="1" applyProtection="1">
      <alignment horizontal="center" vertical="center" wrapText="1"/>
      <protection hidden="1"/>
    </xf>
    <xf numFmtId="0" fontId="33" fillId="2" borderId="7" xfId="0" applyFont="1" applyFill="1" applyBorder="1" applyAlignment="1" applyProtection="1">
      <alignment horizontal="center" vertical="center"/>
      <protection hidden="1"/>
    </xf>
    <xf numFmtId="170" fontId="33" fillId="2" borderId="7" xfId="0" applyNumberFormat="1" applyFont="1" applyFill="1" applyBorder="1" applyAlignment="1" applyProtection="1">
      <alignment horizontal="center" vertical="center"/>
      <protection hidden="1"/>
    </xf>
    <xf numFmtId="0" fontId="33" fillId="2" borderId="8" xfId="0" applyFont="1" applyFill="1" applyBorder="1" applyProtection="1">
      <protection hidden="1"/>
    </xf>
    <xf numFmtId="0" fontId="33" fillId="0" borderId="49" xfId="0" applyFont="1" applyBorder="1" applyAlignment="1" applyProtection="1">
      <alignment horizontal="center"/>
      <protection hidden="1"/>
    </xf>
    <xf numFmtId="0" fontId="33" fillId="2" borderId="3" xfId="0" applyFont="1" applyFill="1" applyBorder="1" applyAlignment="1" applyProtection="1">
      <alignment vertical="center" textRotation="90"/>
      <protection hidden="1"/>
    </xf>
    <xf numFmtId="0" fontId="33" fillId="2" borderId="3" xfId="0" applyFont="1" applyFill="1" applyBorder="1" applyAlignment="1" applyProtection="1">
      <alignment horizontal="center" vertical="center"/>
      <protection hidden="1"/>
    </xf>
    <xf numFmtId="0" fontId="33" fillId="0" borderId="3" xfId="0" applyFont="1" applyFill="1" applyBorder="1" applyAlignment="1" applyProtection="1">
      <alignment horizontal="center" vertical="center" wrapText="1"/>
      <protection hidden="1"/>
    </xf>
    <xf numFmtId="170" fontId="33" fillId="0" borderId="3" xfId="0" applyNumberFormat="1" applyFont="1" applyFill="1" applyBorder="1" applyAlignment="1" applyProtection="1">
      <alignment horizontal="center" vertical="center"/>
      <protection hidden="1"/>
    </xf>
    <xf numFmtId="0" fontId="33" fillId="0" borderId="4" xfId="0" applyFont="1" applyFill="1" applyBorder="1" applyProtection="1">
      <protection hidden="1"/>
    </xf>
    <xf numFmtId="0" fontId="33" fillId="2" borderId="5" xfId="0" applyFont="1" applyFill="1" applyBorder="1" applyAlignment="1" applyProtection="1">
      <alignment vertical="center" textRotation="90"/>
      <protection hidden="1"/>
    </xf>
    <xf numFmtId="0" fontId="33" fillId="2" borderId="5" xfId="0" applyFont="1" applyFill="1" applyBorder="1" applyAlignment="1" applyProtection="1">
      <alignment horizontal="center" vertical="center"/>
      <protection hidden="1"/>
    </xf>
    <xf numFmtId="0" fontId="33" fillId="0" borderId="5"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vertical="center"/>
      <protection hidden="1"/>
    </xf>
    <xf numFmtId="170" fontId="33" fillId="0" borderId="0" xfId="0" applyNumberFormat="1" applyFont="1" applyFill="1" applyBorder="1" applyAlignment="1" applyProtection="1">
      <alignment horizontal="center" vertical="center"/>
      <protection hidden="1"/>
    </xf>
    <xf numFmtId="0" fontId="33" fillId="2" borderId="0" xfId="0" applyFont="1" applyFill="1" applyBorder="1" applyAlignment="1" applyProtection="1">
      <alignment vertical="center" textRotation="90"/>
      <protection hidden="1"/>
    </xf>
    <xf numFmtId="0" fontId="33" fillId="2"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51" xfId="0" applyFont="1" applyBorder="1" applyAlignment="1" applyProtection="1">
      <alignment horizontal="center"/>
      <protection hidden="1"/>
    </xf>
    <xf numFmtId="0" fontId="33" fillId="0" borderId="65" xfId="0" applyFont="1" applyBorder="1" applyAlignment="1" applyProtection="1">
      <alignment horizontal="center"/>
      <protection hidden="1"/>
    </xf>
    <xf numFmtId="0" fontId="33" fillId="0" borderId="2" xfId="0" applyFont="1" applyBorder="1" applyAlignment="1" applyProtection="1">
      <alignment horizontal="center" vertical="center"/>
      <protection hidden="1"/>
    </xf>
    <xf numFmtId="0" fontId="9" fillId="5" borderId="22" xfId="0" applyFont="1" applyFill="1" applyBorder="1" applyAlignment="1" applyProtection="1">
      <alignment horizontal="center" vertical="center" wrapText="1"/>
      <protection hidden="1"/>
    </xf>
    <xf numFmtId="170" fontId="9" fillId="5" borderId="20" xfId="0" applyNumberFormat="1"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wrapText="1"/>
      <protection hidden="1"/>
    </xf>
    <xf numFmtId="0" fontId="33" fillId="18" borderId="39" xfId="0" applyFont="1" applyFill="1" applyBorder="1" applyAlignment="1" applyProtection="1">
      <alignment horizontal="center" vertical="center"/>
      <protection hidden="1"/>
    </xf>
    <xf numFmtId="0" fontId="33" fillId="18" borderId="40" xfId="0" applyFont="1" applyFill="1" applyBorder="1" applyAlignment="1" applyProtection="1">
      <alignment horizontal="center" vertical="center" wrapText="1"/>
      <protection hidden="1"/>
    </xf>
    <xf numFmtId="0" fontId="33" fillId="18" borderId="40" xfId="0" applyFont="1" applyFill="1" applyBorder="1" applyAlignment="1" applyProtection="1">
      <alignment horizontal="center" vertical="center"/>
      <protection hidden="1"/>
    </xf>
    <xf numFmtId="0" fontId="33" fillId="18" borderId="41"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7" borderId="30"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0" borderId="16" xfId="0" applyFont="1" applyBorder="1" applyAlignment="1" applyProtection="1">
      <alignment horizontal="center" vertical="center"/>
      <protection hidden="1"/>
    </xf>
    <xf numFmtId="170" fontId="33" fillId="0" borderId="7" xfId="0" applyNumberFormat="1" applyFont="1" applyBorder="1" applyAlignment="1" applyProtection="1">
      <alignment horizontal="center" vertical="center"/>
      <protection hidden="1"/>
    </xf>
    <xf numFmtId="0" fontId="33" fillId="7" borderId="22" xfId="0" applyFont="1" applyFill="1" applyBorder="1" applyAlignment="1" applyProtection="1">
      <alignment horizontal="center" vertical="center" wrapText="1"/>
      <protection hidden="1"/>
    </xf>
    <xf numFmtId="0" fontId="33" fillId="0" borderId="0" xfId="0" applyFont="1" applyBorder="1" applyAlignment="1" applyProtection="1">
      <alignment vertical="center" textRotation="90"/>
      <protection hidden="1"/>
    </xf>
    <xf numFmtId="14" fontId="33" fillId="0" borderId="0" xfId="0" applyNumberFormat="1" applyFont="1" applyBorder="1" applyAlignment="1" applyProtection="1">
      <alignment horizontal="center" vertical="center"/>
      <protection hidden="1"/>
    </xf>
    <xf numFmtId="0" fontId="9" fillId="5" borderId="21" xfId="0" applyFont="1" applyFill="1" applyBorder="1" applyAlignment="1" applyProtection="1">
      <alignment horizontal="center" vertical="center" wrapText="1"/>
      <protection hidden="1"/>
    </xf>
    <xf numFmtId="167" fontId="33" fillId="7" borderId="40" xfId="0" applyNumberFormat="1" applyFont="1" applyFill="1" applyBorder="1" applyAlignment="1" applyProtection="1">
      <alignment horizontal="center" vertical="center" wrapText="1"/>
      <protection hidden="1"/>
    </xf>
    <xf numFmtId="165" fontId="33" fillId="7" borderId="9"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wrapText="1"/>
      <protection hidden="1"/>
    </xf>
    <xf numFmtId="14" fontId="33" fillId="7" borderId="34" xfId="0" applyNumberFormat="1" applyFont="1" applyFill="1" applyBorder="1" applyAlignment="1" applyProtection="1">
      <alignment horizontal="center" vertical="center"/>
      <protection hidden="1"/>
    </xf>
    <xf numFmtId="2" fontId="33" fillId="7" borderId="9" xfId="0" applyNumberFormat="1" applyFont="1" applyFill="1" applyBorder="1" applyAlignment="1" applyProtection="1">
      <alignment horizontal="center" vertical="center" wrapText="1"/>
      <protection hidden="1"/>
    </xf>
    <xf numFmtId="166" fontId="33" fillId="7" borderId="9" xfId="0" applyNumberFormat="1"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wrapText="1"/>
      <protection hidden="1"/>
    </xf>
    <xf numFmtId="2" fontId="33" fillId="2" borderId="0" xfId="0" applyNumberFormat="1" applyFont="1" applyFill="1" applyBorder="1" applyAlignment="1" applyProtection="1">
      <alignment horizontal="center" vertical="center"/>
      <protection hidden="1"/>
    </xf>
    <xf numFmtId="170" fontId="33" fillId="2" borderId="0" xfId="0" applyNumberFormat="1" applyFont="1" applyFill="1" applyBorder="1" applyAlignment="1" applyProtection="1">
      <alignment horizontal="center" vertical="center"/>
      <protection hidden="1"/>
    </xf>
    <xf numFmtId="0" fontId="33" fillId="0" borderId="49" xfId="0" applyFont="1" applyBorder="1" applyProtection="1">
      <protection hidden="1"/>
    </xf>
    <xf numFmtId="0" fontId="9" fillId="0" borderId="40" xfId="0" applyFont="1" applyBorder="1" applyAlignment="1" applyProtection="1">
      <alignment horizontal="center" vertical="center"/>
      <protection hidden="1"/>
    </xf>
    <xf numFmtId="170" fontId="9" fillId="0" borderId="40"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7" borderId="44" xfId="0" applyFont="1" applyFill="1" applyBorder="1" applyAlignment="1" applyProtection="1">
      <alignment horizontal="center" vertical="center" wrapText="1"/>
      <protection hidden="1"/>
    </xf>
    <xf numFmtId="166" fontId="9" fillId="7" borderId="44" xfId="0" applyNumberFormat="1" applyFont="1" applyFill="1" applyBorder="1" applyAlignment="1" applyProtection="1">
      <alignment horizontal="center" vertical="center" wrapText="1"/>
      <protection hidden="1"/>
    </xf>
    <xf numFmtId="170" fontId="9" fillId="7" borderId="44" xfId="0" applyNumberFormat="1" applyFont="1" applyFill="1" applyBorder="1" applyAlignment="1" applyProtection="1">
      <alignment horizontal="center" vertical="center" wrapText="1"/>
      <protection hidden="1"/>
    </xf>
    <xf numFmtId="14" fontId="9" fillId="7" borderId="37" xfId="0" applyNumberFormat="1" applyFont="1" applyFill="1" applyBorder="1" applyAlignment="1" applyProtection="1">
      <alignment horizontal="center" vertical="center" wrapText="1"/>
      <protection hidden="1"/>
    </xf>
    <xf numFmtId="0" fontId="33" fillId="0" borderId="5" xfId="0" applyFont="1" applyBorder="1" applyAlignment="1" applyProtection="1">
      <alignment vertical="center" textRotation="90" wrapText="1"/>
      <protection hidden="1"/>
    </xf>
    <xf numFmtId="0" fontId="33" fillId="0" borderId="5" xfId="0" applyFont="1" applyBorder="1" applyAlignment="1" applyProtection="1">
      <alignment horizontal="center" vertical="center"/>
      <protection hidden="1"/>
    </xf>
    <xf numFmtId="170" fontId="33" fillId="2" borderId="5" xfId="0" applyNumberFormat="1" applyFont="1" applyFill="1" applyBorder="1" applyAlignment="1" applyProtection="1">
      <alignment horizontal="center" vertical="center"/>
      <protection hidden="1"/>
    </xf>
    <xf numFmtId="14" fontId="33" fillId="2" borderId="5" xfId="0" applyNumberFormat="1" applyFont="1" applyFill="1" applyBorder="1" applyAlignment="1" applyProtection="1">
      <alignment horizontal="center" vertical="center"/>
      <protection hidden="1"/>
    </xf>
    <xf numFmtId="0" fontId="2" fillId="0" borderId="0" xfId="0" applyFont="1" applyAlignment="1" applyProtection="1">
      <alignment vertical="center" wrapText="1"/>
      <protection locked="0" hidden="1"/>
    </xf>
    <xf numFmtId="0" fontId="2"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center" vertical="center" wrapText="1"/>
      <protection hidden="1"/>
    </xf>
    <xf numFmtId="0" fontId="2" fillId="0" borderId="0" xfId="0" applyFont="1" applyFill="1" applyAlignment="1" applyProtection="1">
      <alignment vertical="center" wrapText="1"/>
      <protection hidden="1"/>
    </xf>
    <xf numFmtId="2" fontId="9" fillId="16" borderId="19" xfId="1" applyNumberFormat="1" applyFont="1" applyFill="1" applyBorder="1" applyAlignment="1" applyProtection="1">
      <alignment horizontal="center" vertical="center"/>
      <protection hidden="1"/>
    </xf>
    <xf numFmtId="14" fontId="2" fillId="19" borderId="22" xfId="0" applyNumberFormat="1" applyFont="1" applyFill="1" applyBorder="1" applyAlignment="1" applyProtection="1">
      <alignment horizontal="center" vertical="center" wrapText="1"/>
      <protection hidden="1"/>
    </xf>
    <xf numFmtId="2" fontId="9" fillId="16" borderId="22" xfId="1" applyNumberFormat="1" applyFont="1" applyFill="1" applyBorder="1" applyAlignment="1" applyProtection="1">
      <alignment horizontal="center" vertical="center" wrapText="1"/>
      <protection hidden="1"/>
    </xf>
    <xf numFmtId="2" fontId="9" fillId="14" borderId="22" xfId="1" applyNumberFormat="1"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protection locked="0" hidden="1"/>
    </xf>
    <xf numFmtId="0" fontId="1" fillId="16" borderId="1" xfId="0" applyFont="1" applyFill="1" applyBorder="1" applyAlignment="1" applyProtection="1">
      <alignment horizontal="center" vertical="center" wrapText="1"/>
      <protection hidden="1"/>
    </xf>
    <xf numFmtId="0" fontId="1" fillId="16" borderId="22" xfId="0"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top" wrapText="1"/>
      <protection hidden="1"/>
    </xf>
    <xf numFmtId="0" fontId="1" fillId="21" borderId="68" xfId="0" applyFont="1" applyFill="1" applyBorder="1" applyAlignment="1" applyProtection="1">
      <alignment horizontal="center" vertical="center" wrapText="1"/>
      <protection hidden="1"/>
    </xf>
    <xf numFmtId="14" fontId="2" fillId="15" borderId="48" xfId="0" applyNumberFormat="1" applyFont="1" applyFill="1" applyBorder="1" applyAlignment="1" applyProtection="1">
      <alignment horizontal="center" vertical="center" wrapText="1"/>
      <protection hidden="1"/>
    </xf>
    <xf numFmtId="2" fontId="2" fillId="15" borderId="40" xfId="0" applyNumberFormat="1" applyFont="1" applyFill="1" applyBorder="1" applyAlignment="1" applyProtection="1">
      <alignment horizontal="center" vertical="center" wrapText="1"/>
      <protection hidden="1"/>
    </xf>
    <xf numFmtId="14" fontId="2" fillId="12" borderId="40" xfId="0" applyNumberFormat="1" applyFont="1" applyFill="1" applyBorder="1" applyAlignment="1" applyProtection="1">
      <alignment horizontal="center" vertical="center" wrapText="1"/>
      <protection hidden="1"/>
    </xf>
    <xf numFmtId="0" fontId="2" fillId="15" borderId="40" xfId="0" applyFont="1" applyFill="1" applyBorder="1" applyAlignment="1" applyProtection="1">
      <alignment horizontal="center" vertical="center" wrapText="1"/>
      <protection hidden="1"/>
    </xf>
    <xf numFmtId="167" fontId="2" fillId="15" borderId="40" xfId="0" applyNumberFormat="1" applyFont="1" applyFill="1" applyBorder="1" applyAlignment="1" applyProtection="1">
      <alignment horizontal="center" vertical="center" wrapText="1"/>
      <protection hidden="1"/>
    </xf>
    <xf numFmtId="0" fontId="2" fillId="19" borderId="9" xfId="0" applyFont="1" applyFill="1" applyBorder="1" applyAlignment="1" applyProtection="1">
      <alignment horizontal="center" vertical="center" wrapText="1"/>
      <protection hidden="1"/>
    </xf>
    <xf numFmtId="170" fontId="2" fillId="15" borderId="9" xfId="0" applyNumberFormat="1" applyFont="1" applyFill="1" applyBorder="1" applyAlignment="1" applyProtection="1">
      <alignment horizontal="center" vertical="center" wrapText="1"/>
      <protection hidden="1"/>
    </xf>
    <xf numFmtId="0" fontId="2" fillId="2" borderId="29"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wrapText="1"/>
      <protection locked="0" hidden="1"/>
    </xf>
    <xf numFmtId="1" fontId="2" fillId="15" borderId="14" xfId="0" applyNumberFormat="1" applyFont="1" applyFill="1" applyBorder="1" applyAlignment="1" applyProtection="1">
      <alignment vertical="center" wrapText="1"/>
      <protection hidden="1"/>
    </xf>
    <xf numFmtId="166" fontId="2" fillId="15"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protection hidden="1"/>
    </xf>
    <xf numFmtId="164" fontId="20" fillId="14" borderId="9" xfId="0" applyNumberFormat="1" applyFont="1" applyFill="1" applyBorder="1" applyAlignment="1" applyProtection="1">
      <alignment horizontal="center" vertical="center" wrapText="1"/>
      <protection hidden="1"/>
    </xf>
    <xf numFmtId="1" fontId="2" fillId="15" borderId="9" xfId="0" applyNumberFormat="1" applyFont="1" applyFill="1" applyBorder="1" applyAlignment="1" applyProtection="1">
      <alignment horizontal="center" vertical="center" wrapText="1"/>
      <protection hidden="1"/>
    </xf>
    <xf numFmtId="0" fontId="6" fillId="24" borderId="71" xfId="6" applyFont="1" applyBorder="1" applyAlignment="1" applyProtection="1">
      <alignment horizontal="center" vertical="center" wrapText="1"/>
      <protection locked="0" hidden="1"/>
    </xf>
    <xf numFmtId="0" fontId="2" fillId="2" borderId="24" xfId="0"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locked="0" hidden="1"/>
    </xf>
    <xf numFmtId="0" fontId="6" fillId="24" borderId="70" xfId="6" applyFont="1" applyBorder="1" applyAlignment="1" applyProtection="1">
      <alignment horizontal="center" vertical="center" wrapText="1"/>
      <protection locked="0" hidden="1"/>
    </xf>
    <xf numFmtId="166" fontId="2" fillId="19" borderId="9" xfId="0" applyNumberFormat="1" applyFont="1" applyFill="1" applyBorder="1" applyAlignment="1" applyProtection="1">
      <alignment horizontal="center" vertical="center" wrapText="1"/>
      <protection hidden="1"/>
    </xf>
    <xf numFmtId="0" fontId="35" fillId="2" borderId="49" xfId="0" applyFont="1" applyFill="1" applyBorder="1" applyAlignment="1" applyProtection="1">
      <alignment horizontal="center" vertical="center" wrapText="1"/>
      <protection hidden="1"/>
    </xf>
    <xf numFmtId="0" fontId="6" fillId="24" borderId="50" xfId="6" applyFont="1" applyBorder="1" applyAlignment="1" applyProtection="1">
      <alignment horizontal="center" vertical="center" wrapText="1"/>
      <protection locked="0" hidden="1"/>
    </xf>
    <xf numFmtId="2" fontId="2" fillId="15" borderId="9" xfId="0" applyNumberFormat="1" applyFont="1" applyFill="1" applyBorder="1" applyAlignment="1" applyProtection="1">
      <alignment horizontal="center" vertical="center" wrapText="1"/>
      <protection hidden="1"/>
    </xf>
    <xf numFmtId="0" fontId="1" fillId="16" borderId="79" xfId="0" applyFont="1" applyFill="1" applyBorder="1" applyAlignment="1" applyProtection="1">
      <alignment horizontal="center" vertical="center" wrapText="1"/>
      <protection hidden="1"/>
    </xf>
    <xf numFmtId="1" fontId="2" fillId="15" borderId="14" xfId="0" applyNumberFormat="1" applyFont="1" applyFill="1" applyBorder="1" applyAlignment="1" applyProtection="1">
      <alignment horizontal="center" vertical="center" wrapText="1"/>
      <protection hidden="1"/>
    </xf>
    <xf numFmtId="14" fontId="2" fillId="12" borderId="11" xfId="0" applyNumberFormat="1" applyFont="1" applyFill="1" applyBorder="1" applyAlignment="1" applyProtection="1">
      <alignment horizontal="center" vertical="center" wrapText="1"/>
      <protection hidden="1"/>
    </xf>
    <xf numFmtId="0" fontId="2" fillId="7" borderId="19" xfId="0" applyFont="1" applyFill="1" applyBorder="1" applyAlignment="1" applyProtection="1">
      <alignment horizontal="center" vertical="center" wrapText="1"/>
      <protection hidden="1"/>
    </xf>
    <xf numFmtId="0" fontId="2" fillId="7" borderId="20" xfId="0" applyFont="1" applyFill="1" applyBorder="1" applyAlignment="1" applyProtection="1">
      <alignment horizontal="center" vertical="center" wrapText="1"/>
      <protection hidden="1"/>
    </xf>
    <xf numFmtId="0" fontId="6" fillId="24" borderId="8" xfId="6" applyFont="1" applyBorder="1" applyAlignment="1" applyProtection="1">
      <alignment horizontal="center" vertical="center" wrapText="1"/>
      <protection locked="0" hidden="1"/>
    </xf>
    <xf numFmtId="0" fontId="1" fillId="32" borderId="30" xfId="0" applyFont="1" applyFill="1" applyBorder="1" applyAlignment="1" applyProtection="1">
      <alignment horizontal="center" vertical="center" wrapText="1"/>
      <protection hidden="1"/>
    </xf>
    <xf numFmtId="0" fontId="1" fillId="32" borderId="36" xfId="0" applyFont="1" applyFill="1" applyBorder="1" applyAlignment="1" applyProtection="1">
      <alignment horizontal="center" vertical="center" wrapText="1"/>
      <protection hidden="1"/>
    </xf>
    <xf numFmtId="0" fontId="2" fillId="0" borderId="0" xfId="0" applyFont="1" applyBorder="1" applyAlignment="1" applyProtection="1">
      <alignment vertical="center" wrapText="1"/>
      <protection hidden="1"/>
    </xf>
    <xf numFmtId="0" fontId="1" fillId="16" borderId="74" xfId="0" applyFont="1" applyFill="1" applyBorder="1" applyAlignment="1" applyProtection="1">
      <alignment horizontal="center" vertical="center" wrapText="1"/>
      <protection hidden="1"/>
    </xf>
    <xf numFmtId="0" fontId="1" fillId="32" borderId="43" xfId="0" applyFont="1" applyFill="1" applyBorder="1" applyAlignment="1" applyProtection="1">
      <alignment horizontal="center" vertical="center" wrapText="1"/>
      <protection hidden="1"/>
    </xf>
    <xf numFmtId="2" fontId="1" fillId="32" borderId="37" xfId="0" applyNumberFormat="1" applyFont="1" applyFill="1" applyBorder="1" applyAlignment="1" applyProtection="1">
      <alignment horizontal="center" vertical="center" wrapText="1"/>
      <protection hidden="1"/>
    </xf>
    <xf numFmtId="0" fontId="1" fillId="16" borderId="66" xfId="0" applyFont="1" applyFill="1" applyBorder="1" applyAlignment="1" applyProtection="1">
      <alignment horizontal="center" vertical="center" wrapText="1"/>
      <protection hidden="1"/>
    </xf>
    <xf numFmtId="165" fontId="2" fillId="15" borderId="9" xfId="0" applyNumberFormat="1" applyFont="1" applyFill="1" applyBorder="1" applyAlignment="1" applyProtection="1">
      <alignment horizontal="center" vertical="center" wrapText="1"/>
      <protection hidden="1"/>
    </xf>
    <xf numFmtId="169" fontId="2" fillId="15" borderId="9" xfId="0" applyNumberFormat="1" applyFont="1" applyFill="1" applyBorder="1" applyAlignment="1" applyProtection="1">
      <alignment horizontal="center" vertical="center" wrapText="1"/>
      <protection hidden="1"/>
    </xf>
    <xf numFmtId="172" fontId="2" fillId="19" borderId="9" xfId="0" applyNumberFormat="1" applyFont="1" applyFill="1" applyBorder="1" applyAlignment="1" applyProtection="1">
      <alignment horizontal="center" vertical="center" wrapText="1"/>
      <protection hidden="1"/>
    </xf>
    <xf numFmtId="0" fontId="2" fillId="12" borderId="9"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center" vertical="center" wrapText="1"/>
      <protection hidden="1"/>
    </xf>
    <xf numFmtId="0" fontId="1" fillId="16" borderId="50" xfId="0" applyFont="1" applyFill="1" applyBorder="1" applyAlignment="1" applyProtection="1">
      <alignment horizontal="center" vertical="center" wrapText="1"/>
      <protection hidden="1"/>
    </xf>
    <xf numFmtId="1" fontId="2" fillId="15" borderId="57" xfId="0" applyNumberFormat="1" applyFont="1" applyFill="1" applyBorder="1" applyAlignment="1" applyProtection="1">
      <alignment horizontal="center" vertical="center" wrapText="1"/>
      <protection hidden="1"/>
    </xf>
    <xf numFmtId="1" fontId="2" fillId="15" borderId="44" xfId="0" applyNumberFormat="1" applyFont="1" applyFill="1" applyBorder="1" applyAlignment="1" applyProtection="1">
      <alignment horizontal="center" vertical="center" wrapText="1"/>
      <protection hidden="1"/>
    </xf>
    <xf numFmtId="14" fontId="2" fillId="12" borderId="44" xfId="0" applyNumberFormat="1" applyFont="1" applyFill="1" applyBorder="1" applyAlignment="1" applyProtection="1">
      <alignment horizontal="center" vertical="center" wrapText="1"/>
      <protection hidden="1"/>
    </xf>
    <xf numFmtId="2" fontId="2" fillId="15" borderId="44" xfId="0" applyNumberFormat="1" applyFont="1" applyFill="1" applyBorder="1" applyAlignment="1" applyProtection="1">
      <alignment horizontal="center" vertical="center" wrapText="1"/>
      <protection hidden="1"/>
    </xf>
    <xf numFmtId="165" fontId="2" fillId="15" borderId="44" xfId="0" applyNumberFormat="1" applyFont="1" applyFill="1" applyBorder="1" applyAlignment="1" applyProtection="1">
      <alignment horizontal="center" vertical="center" wrapText="1"/>
      <protection hidden="1"/>
    </xf>
    <xf numFmtId="166" fontId="2" fillId="15" borderId="44" xfId="0" applyNumberFormat="1" applyFont="1" applyFill="1" applyBorder="1" applyAlignment="1" applyProtection="1">
      <alignment horizontal="center" vertical="center" wrapText="1"/>
      <protection hidden="1"/>
    </xf>
    <xf numFmtId="172" fontId="2" fillId="19" borderId="44" xfId="0" applyNumberFormat="1" applyFont="1" applyFill="1" applyBorder="1" applyAlignment="1" applyProtection="1">
      <alignment horizontal="center" vertical="center" wrapText="1"/>
      <protection hidden="1"/>
    </xf>
    <xf numFmtId="0" fontId="2" fillId="19" borderId="44" xfId="0" applyFont="1" applyFill="1" applyBorder="1" applyAlignment="1" applyProtection="1">
      <alignment horizontal="center" vertical="center" wrapText="1"/>
      <protection hidden="1"/>
    </xf>
    <xf numFmtId="170" fontId="2" fillId="15" borderId="44" xfId="0" applyNumberFormat="1"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2" fontId="2" fillId="7" borderId="9" xfId="0" applyNumberFormat="1" applyFont="1" applyFill="1" applyBorder="1" applyAlignment="1" applyProtection="1">
      <alignment horizontal="center" vertical="center" wrapText="1"/>
      <protection hidden="1"/>
    </xf>
    <xf numFmtId="2" fontId="2" fillId="7" borderId="34" xfId="0" applyNumberFormat="1" applyFont="1" applyFill="1" applyBorder="1" applyAlignment="1" applyProtection="1">
      <alignment horizontal="center" vertical="center" wrapText="1"/>
      <protection hidden="1"/>
    </xf>
    <xf numFmtId="0" fontId="63" fillId="2" borderId="0" xfId="0" applyFont="1" applyFill="1" applyBorder="1" applyAlignment="1" applyProtection="1">
      <alignment vertical="center" wrapText="1"/>
      <protection hidden="1"/>
    </xf>
    <xf numFmtId="165" fontId="2" fillId="7" borderId="30" xfId="0" applyNumberFormat="1" applyFont="1" applyFill="1" applyBorder="1" applyAlignment="1" applyProtection="1">
      <alignment horizontal="center" vertical="center" wrapText="1"/>
      <protection hidden="1"/>
    </xf>
    <xf numFmtId="165" fontId="2" fillId="12" borderId="18" xfId="0" applyNumberFormat="1" applyFont="1" applyFill="1" applyBorder="1" applyAlignment="1" applyProtection="1">
      <alignment horizontal="center" vertical="center" wrapText="1"/>
      <protection hidden="1"/>
    </xf>
    <xf numFmtId="165" fontId="2" fillId="12" borderId="36" xfId="0" applyNumberFormat="1" applyFont="1" applyFill="1" applyBorder="1" applyAlignment="1" applyProtection="1">
      <alignment horizontal="center" vertical="center" wrapText="1"/>
      <protection hidden="1"/>
    </xf>
    <xf numFmtId="166" fontId="64" fillId="20" borderId="36" xfId="0" applyNumberFormat="1" applyFont="1" applyFill="1" applyBorder="1" applyAlignment="1" applyProtection="1">
      <alignment horizontal="center" vertical="center"/>
      <protection hidden="1"/>
    </xf>
    <xf numFmtId="2" fontId="2" fillId="7" borderId="32" xfId="0" applyNumberFormat="1" applyFont="1" applyFill="1" applyBorder="1" applyAlignment="1" applyProtection="1">
      <alignment horizontal="center" vertical="center" wrapText="1"/>
      <protection hidden="1"/>
    </xf>
    <xf numFmtId="165" fontId="2" fillId="12" borderId="9" xfId="0" applyNumberFormat="1" applyFont="1" applyFill="1" applyBorder="1" applyAlignment="1" applyProtection="1">
      <alignment horizontal="center" vertical="center" wrapText="1"/>
      <protection hidden="1"/>
    </xf>
    <xf numFmtId="165" fontId="2" fillId="12" borderId="34" xfId="0" applyNumberFormat="1" applyFont="1" applyFill="1" applyBorder="1" applyAlignment="1" applyProtection="1">
      <alignment horizontal="center" vertical="center" wrapText="1"/>
      <protection hidden="1"/>
    </xf>
    <xf numFmtId="166" fontId="64" fillId="20" borderId="34" xfId="0" applyNumberFormat="1" applyFont="1" applyFill="1" applyBorder="1" applyAlignment="1" applyProtection="1">
      <alignment horizontal="center" vertical="center"/>
      <protection hidden="1"/>
    </xf>
    <xf numFmtId="0" fontId="2" fillId="12" borderId="14" xfId="0" applyFont="1" applyFill="1" applyBorder="1" applyAlignment="1" applyProtection="1">
      <alignment horizontal="center" vertical="center" wrapText="1"/>
      <protection hidden="1"/>
    </xf>
    <xf numFmtId="0" fontId="2" fillId="12" borderId="34" xfId="0" applyFont="1" applyFill="1" applyBorder="1" applyAlignment="1" applyProtection="1">
      <alignment horizontal="center" vertical="center" wrapText="1"/>
      <protection hidden="1"/>
    </xf>
    <xf numFmtId="164" fontId="2" fillId="7" borderId="32" xfId="0" applyNumberFormat="1" applyFont="1" applyFill="1" applyBorder="1" applyAlignment="1" applyProtection="1">
      <alignment horizontal="center" vertical="center" wrapText="1"/>
      <protection hidden="1"/>
    </xf>
    <xf numFmtId="178" fontId="2" fillId="12" borderId="34" xfId="0" applyNumberFormat="1" applyFont="1" applyFill="1" applyBorder="1" applyAlignment="1" applyProtection="1">
      <alignment horizontal="center" vertical="center" wrapText="1"/>
      <protection hidden="1"/>
    </xf>
    <xf numFmtId="2" fontId="2" fillId="7" borderId="44" xfId="0" applyNumberFormat="1" applyFont="1" applyFill="1" applyBorder="1" applyAlignment="1" applyProtection="1">
      <alignment horizontal="center" vertical="center" wrapText="1"/>
      <protection hidden="1"/>
    </xf>
    <xf numFmtId="165" fontId="2" fillId="12" borderId="37" xfId="0" applyNumberFormat="1" applyFont="1" applyFill="1" applyBorder="1" applyAlignment="1" applyProtection="1">
      <alignment horizontal="center" vertical="center" wrapText="1"/>
      <protection hidden="1"/>
    </xf>
    <xf numFmtId="166" fontId="64" fillId="20" borderId="37" xfId="0" applyNumberFormat="1" applyFont="1" applyFill="1" applyBorder="1" applyAlignment="1" applyProtection="1">
      <alignment horizontal="center" vertical="center"/>
      <protection hidden="1"/>
    </xf>
    <xf numFmtId="2" fontId="2" fillId="0" borderId="0" xfId="0" applyNumberFormat="1" applyFont="1" applyAlignment="1" applyProtection="1">
      <alignment vertical="center" wrapText="1"/>
      <protection hidden="1"/>
    </xf>
    <xf numFmtId="14" fontId="2" fillId="0" borderId="0" xfId="0" applyNumberFormat="1" applyFont="1" applyAlignment="1" applyProtection="1">
      <alignment vertical="center" wrapText="1"/>
      <protection hidden="1"/>
    </xf>
    <xf numFmtId="0" fontId="1" fillId="16" borderId="40"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186" fontId="2" fillId="12" borderId="57" xfId="0" applyNumberFormat="1" applyFont="1" applyFill="1" applyBorder="1" applyAlignment="1" applyProtection="1">
      <alignment horizontal="center" vertical="center" wrapText="1"/>
      <protection hidden="1"/>
    </xf>
    <xf numFmtId="0" fontId="2" fillId="12" borderId="44" xfId="0" applyFont="1" applyFill="1" applyBorder="1" applyAlignment="1" applyProtection="1">
      <alignment horizontal="center" vertical="center" wrapText="1"/>
      <protection hidden="1"/>
    </xf>
    <xf numFmtId="186" fontId="2" fillId="12" borderId="44" xfId="0" applyNumberFormat="1" applyFont="1" applyFill="1" applyBorder="1" applyAlignment="1" applyProtection="1">
      <alignment horizontal="center" vertical="center" wrapText="1"/>
      <protection hidden="1"/>
    </xf>
    <xf numFmtId="0" fontId="2" fillId="20" borderId="37" xfId="0" applyFont="1" applyFill="1" applyBorder="1" applyAlignment="1" applyProtection="1">
      <alignment horizontal="center" vertical="center" wrapText="1"/>
      <protection hidden="1"/>
    </xf>
    <xf numFmtId="0" fontId="2" fillId="2" borderId="2" xfId="0" applyFont="1" applyFill="1" applyBorder="1" applyAlignment="1" applyProtection="1">
      <alignment vertical="center" wrapText="1"/>
      <protection hidden="1"/>
    </xf>
    <xf numFmtId="0" fontId="2" fillId="2" borderId="3" xfId="0" applyFont="1" applyFill="1" applyBorder="1" applyAlignment="1" applyProtection="1">
      <alignment vertical="center" wrapText="1"/>
      <protection hidden="1"/>
    </xf>
    <xf numFmtId="0" fontId="2" fillId="2" borderId="4"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0" fontId="2" fillId="2" borderId="49" xfId="0" applyFont="1" applyFill="1" applyBorder="1" applyAlignment="1" applyProtection="1">
      <alignment vertical="center" wrapText="1"/>
      <protection hidden="1"/>
    </xf>
    <xf numFmtId="166" fontId="2" fillId="6" borderId="48" xfId="0" applyNumberFormat="1" applyFont="1" applyFill="1" applyBorder="1" applyAlignment="1" applyProtection="1">
      <alignment horizontal="center" vertical="center"/>
      <protection locked="0" hidden="1"/>
    </xf>
    <xf numFmtId="166" fontId="2" fillId="7" borderId="40" xfId="0" applyNumberFormat="1" applyFont="1" applyFill="1" applyBorder="1" applyAlignment="1" applyProtection="1">
      <alignment horizontal="center" vertical="center"/>
      <protection hidden="1"/>
    </xf>
    <xf numFmtId="1" fontId="2" fillId="6" borderId="40" xfId="0" applyNumberFormat="1" applyFont="1" applyFill="1" applyBorder="1" applyAlignment="1" applyProtection="1">
      <alignment horizontal="center" vertical="center"/>
      <protection locked="0" hidden="1"/>
    </xf>
    <xf numFmtId="1" fontId="2" fillId="6" borderId="40" xfId="0" applyNumberFormat="1" applyFont="1" applyFill="1" applyBorder="1" applyAlignment="1" applyProtection="1">
      <alignment horizontal="center" vertical="center" wrapText="1"/>
      <protection locked="0" hidden="1"/>
    </xf>
    <xf numFmtId="1" fontId="2" fillId="7" borderId="41" xfId="0" applyNumberFormat="1" applyFont="1" applyFill="1" applyBorder="1" applyAlignment="1" applyProtection="1">
      <alignment horizontal="center" vertical="center" wrapText="1"/>
      <protection hidden="1"/>
    </xf>
    <xf numFmtId="0" fontId="2" fillId="6" borderId="39"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wrapText="1"/>
      <protection locked="0" hidden="1"/>
    </xf>
    <xf numFmtId="1" fontId="2" fillId="7" borderId="40" xfId="0" applyNumberFormat="1" applyFont="1" applyFill="1" applyBorder="1" applyAlignment="1" applyProtection="1">
      <alignment horizontal="center" vertical="center" wrapText="1"/>
      <protection hidden="1"/>
    </xf>
    <xf numFmtId="0" fontId="2" fillId="6" borderId="41" xfId="0" applyFont="1" applyFill="1" applyBorder="1" applyAlignment="1" applyProtection="1">
      <alignment horizontal="center" vertical="center" wrapText="1"/>
      <protection locked="0" hidden="1"/>
    </xf>
    <xf numFmtId="0" fontId="1" fillId="5" borderId="66" xfId="0" applyFont="1" applyFill="1" applyBorder="1" applyAlignment="1" applyProtection="1">
      <alignment horizontal="center" vertical="center" wrapText="1"/>
      <protection hidden="1"/>
    </xf>
    <xf numFmtId="166" fontId="2" fillId="6" borderId="14" xfId="0" applyNumberFormat="1" applyFont="1" applyFill="1" applyBorder="1" applyAlignment="1" applyProtection="1">
      <alignment horizontal="center" vertical="center"/>
      <protection locked="0" hidden="1"/>
    </xf>
    <xf numFmtId="166" fontId="2" fillId="7" borderId="9" xfId="0" applyNumberFormat="1" applyFont="1" applyFill="1" applyBorder="1" applyAlignment="1" applyProtection="1">
      <alignment horizontal="center" vertical="center"/>
      <protection hidden="1"/>
    </xf>
    <xf numFmtId="1" fontId="2" fillId="6" borderId="9" xfId="0" applyNumberFormat="1" applyFont="1" applyFill="1" applyBorder="1" applyAlignment="1" applyProtection="1">
      <alignment horizontal="center" vertical="center"/>
      <protection locked="0" hidden="1"/>
    </xf>
    <xf numFmtId="1" fontId="2" fillId="6" borderId="9" xfId="0" applyNumberFormat="1" applyFont="1" applyFill="1" applyBorder="1" applyAlignment="1" applyProtection="1">
      <alignment horizontal="center" vertical="center" wrapText="1"/>
      <protection locked="0" hidden="1"/>
    </xf>
    <xf numFmtId="1" fontId="2" fillId="7" borderId="34" xfId="0" applyNumberFormat="1" applyFont="1" applyFill="1" applyBorder="1" applyAlignment="1" applyProtection="1">
      <alignment horizontal="center" vertical="center" wrapText="1"/>
      <protection hidden="1"/>
    </xf>
    <xf numFmtId="166" fontId="2" fillId="6" borderId="32" xfId="0" applyNumberFormat="1" applyFont="1" applyFill="1" applyBorder="1" applyAlignment="1" applyProtection="1">
      <alignment horizontal="center" vertical="center"/>
      <protection locked="0" hidden="1"/>
    </xf>
    <xf numFmtId="0" fontId="2" fillId="6" borderId="9" xfId="0" applyFont="1" applyFill="1" applyBorder="1" applyAlignment="1" applyProtection="1">
      <alignment horizontal="center" vertical="center"/>
      <protection locked="0" hidden="1"/>
    </xf>
    <xf numFmtId="0" fontId="2" fillId="6" borderId="34" xfId="0" applyFont="1" applyFill="1" applyBorder="1" applyAlignment="1" applyProtection="1">
      <alignment horizontal="center" vertical="center" wrapText="1"/>
      <protection locked="0" hidden="1"/>
    </xf>
    <xf numFmtId="0" fontId="1" fillId="5" borderId="69" xfId="0" applyFont="1" applyFill="1" applyBorder="1" applyAlignment="1" applyProtection="1">
      <alignment horizontal="center" vertical="center" wrapText="1"/>
      <protection hidden="1"/>
    </xf>
    <xf numFmtId="166" fontId="2" fillId="6" borderId="57"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wrapText="1"/>
      <protection locked="0" hidden="1"/>
    </xf>
    <xf numFmtId="1" fontId="2" fillId="7" borderId="37" xfId="0" applyNumberFormat="1" applyFont="1" applyFill="1" applyBorder="1" applyAlignment="1" applyProtection="1">
      <alignment horizontal="center" vertical="center" wrapText="1"/>
      <protection hidden="1"/>
    </xf>
    <xf numFmtId="166" fontId="2" fillId="6" borderId="43" xfId="0" applyNumberFormat="1" applyFont="1" applyFill="1" applyBorder="1" applyAlignment="1" applyProtection="1">
      <alignment horizontal="center" vertical="center"/>
      <protection locked="0" hidden="1"/>
    </xf>
    <xf numFmtId="0" fontId="2" fillId="6" borderId="44" xfId="0" applyFont="1" applyFill="1" applyBorder="1" applyAlignment="1" applyProtection="1">
      <alignment horizontal="center" vertical="center"/>
      <protection locked="0" hidden="1"/>
    </xf>
    <xf numFmtId="1" fontId="2" fillId="7" borderId="44" xfId="0" applyNumberFormat="1" applyFont="1" applyFill="1" applyBorder="1" applyAlignment="1" applyProtection="1">
      <alignment horizontal="center" vertical="center" wrapText="1"/>
      <protection hidden="1"/>
    </xf>
    <xf numFmtId="0" fontId="2" fillId="6" borderId="37" xfId="0" applyFont="1" applyFill="1" applyBorder="1" applyAlignment="1" applyProtection="1">
      <alignment horizontal="center" vertical="center" wrapText="1"/>
      <protection locked="0" hidden="1"/>
    </xf>
    <xf numFmtId="0" fontId="2" fillId="2" borderId="47" xfId="0" applyFont="1" applyFill="1" applyBorder="1" applyAlignment="1" applyProtection="1">
      <alignment vertical="center" wrapText="1"/>
      <protection hidden="1"/>
    </xf>
    <xf numFmtId="0" fontId="2" fillId="2" borderId="5" xfId="0" applyFont="1" applyFill="1" applyBorder="1" applyAlignment="1" applyProtection="1">
      <alignment vertical="center" wrapText="1"/>
      <protection hidden="1"/>
    </xf>
    <xf numFmtId="0" fontId="2" fillId="2" borderId="38" xfId="0" applyFont="1" applyFill="1" applyBorder="1" applyAlignment="1" applyProtection="1">
      <alignment vertical="center" wrapText="1"/>
      <protection hidden="1"/>
    </xf>
    <xf numFmtId="166" fontId="1" fillId="5" borderId="1" xfId="0" applyNumberFormat="1" applyFont="1" applyFill="1" applyBorder="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0" fontId="2" fillId="5" borderId="30" xfId="0" applyFont="1" applyFill="1" applyBorder="1" applyAlignment="1" applyProtection="1">
      <alignment horizontal="center" vertical="center" wrapText="1"/>
      <protection hidden="1"/>
    </xf>
    <xf numFmtId="0" fontId="2" fillId="18" borderId="68" xfId="0" applyFont="1" applyFill="1" applyBorder="1" applyAlignment="1" applyProtection="1">
      <alignment horizontal="center" vertical="center" wrapText="1"/>
      <protection hidden="1"/>
    </xf>
    <xf numFmtId="0" fontId="2" fillId="26" borderId="2" xfId="0" applyFont="1" applyFill="1" applyBorder="1" applyAlignment="1" applyProtection="1">
      <alignment vertical="center" wrapText="1"/>
      <protection hidden="1"/>
    </xf>
    <xf numFmtId="0" fontId="1" fillId="26" borderId="71" xfId="0" applyFont="1" applyFill="1" applyBorder="1" applyAlignment="1" applyProtection="1">
      <alignment horizontal="center" vertical="center" wrapText="1"/>
      <protection hidden="1"/>
    </xf>
    <xf numFmtId="0" fontId="2" fillId="26" borderId="4" xfId="0" applyFont="1" applyFill="1" applyBorder="1" applyAlignment="1" applyProtection="1">
      <alignment vertical="center" wrapText="1"/>
      <protection hidden="1"/>
    </xf>
    <xf numFmtId="178" fontId="2" fillId="12" borderId="9" xfId="0" applyNumberFormat="1" applyFont="1" applyFill="1" applyBorder="1" applyAlignment="1" applyProtection="1">
      <alignment horizontal="center" vertical="center" wrapText="1"/>
      <protection hidden="1"/>
    </xf>
    <xf numFmtId="11" fontId="2" fillId="12" borderId="9" xfId="0" applyNumberFormat="1" applyFont="1" applyFill="1" applyBorder="1" applyAlignment="1" applyProtection="1">
      <alignment horizontal="center" vertical="center" wrapText="1"/>
      <protection hidden="1"/>
    </xf>
    <xf numFmtId="167" fontId="2" fillId="5" borderId="69" xfId="0" applyNumberFormat="1" applyFont="1" applyFill="1" applyBorder="1" applyAlignment="1" applyProtection="1">
      <alignment horizontal="center" vertical="center" wrapText="1"/>
      <protection hidden="1"/>
    </xf>
    <xf numFmtId="0" fontId="2" fillId="26" borderId="70" xfId="0" applyFont="1" applyFill="1" applyBorder="1" applyAlignment="1" applyProtection="1">
      <alignment vertical="center" wrapText="1"/>
      <protection hidden="1"/>
    </xf>
    <xf numFmtId="2" fontId="1" fillId="26" borderId="1" xfId="0" applyNumberFormat="1" applyFont="1" applyFill="1" applyBorder="1" applyAlignment="1" applyProtection="1">
      <alignment horizontal="center" vertical="center" wrapText="1"/>
      <protection hidden="1"/>
    </xf>
    <xf numFmtId="0" fontId="2" fillId="18" borderId="74" xfId="0" applyFont="1" applyFill="1" applyBorder="1" applyAlignment="1" applyProtection="1">
      <alignment horizontal="center" vertical="center" wrapText="1"/>
      <protection hidden="1"/>
    </xf>
    <xf numFmtId="0" fontId="2" fillId="26" borderId="10" xfId="0" applyFont="1" applyFill="1" applyBorder="1" applyAlignment="1" applyProtection="1">
      <alignment vertical="center" wrapText="1"/>
      <protection hidden="1"/>
    </xf>
    <xf numFmtId="0" fontId="1" fillId="26" borderId="50" xfId="0" applyFont="1" applyFill="1" applyBorder="1" applyAlignment="1" applyProtection="1">
      <alignment horizontal="center" vertical="center" wrapText="1"/>
      <protection hidden="1"/>
    </xf>
    <xf numFmtId="0" fontId="2" fillId="26" borderId="49" xfId="0" applyFont="1" applyFill="1" applyBorder="1" applyAlignment="1" applyProtection="1">
      <alignment vertical="center" wrapText="1"/>
      <protection hidden="1"/>
    </xf>
    <xf numFmtId="0" fontId="2" fillId="5" borderId="69" xfId="0" applyFont="1" applyFill="1" applyBorder="1" applyAlignment="1" applyProtection="1">
      <alignment horizontal="center" vertical="center" wrapText="1"/>
      <protection hidden="1"/>
    </xf>
    <xf numFmtId="0" fontId="2" fillId="26" borderId="47" xfId="0" applyFont="1" applyFill="1" applyBorder="1" applyAlignment="1" applyProtection="1">
      <alignment vertical="center" wrapText="1"/>
      <protection hidden="1"/>
    </xf>
    <xf numFmtId="2" fontId="1" fillId="26" borderId="50" xfId="0" applyNumberFormat="1" applyFont="1" applyFill="1" applyBorder="1" applyAlignment="1" applyProtection="1">
      <alignment horizontal="center" vertical="center" wrapText="1"/>
      <protection hidden="1"/>
    </xf>
    <xf numFmtId="0" fontId="2" fillId="26" borderId="38" xfId="0" applyFont="1" applyFill="1" applyBorder="1" applyAlignment="1" applyProtection="1">
      <alignment vertical="center" wrapText="1"/>
      <protection hidden="1"/>
    </xf>
    <xf numFmtId="11" fontId="2" fillId="5" borderId="46" xfId="0" applyNumberFormat="1" applyFont="1" applyFill="1" applyBorder="1" applyAlignment="1" applyProtection="1">
      <alignment horizontal="center" vertical="center" wrapText="1"/>
      <protection hidden="1"/>
    </xf>
    <xf numFmtId="0" fontId="2" fillId="5" borderId="61" xfId="0" applyFont="1" applyFill="1" applyBorder="1" applyAlignment="1" applyProtection="1">
      <alignment horizontal="center" vertical="center" wrapText="1"/>
      <protection hidden="1"/>
    </xf>
    <xf numFmtId="169" fontId="2" fillId="12" borderId="34" xfId="0" applyNumberFormat="1" applyFont="1" applyFill="1" applyBorder="1" applyAlignment="1" applyProtection="1">
      <alignment horizontal="center" vertical="center" wrapText="1"/>
      <protection hidden="1"/>
    </xf>
    <xf numFmtId="2" fontId="2" fillId="12" borderId="37"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2" fillId="2" borderId="52" xfId="0" applyFont="1" applyFill="1" applyBorder="1" applyAlignment="1" applyProtection="1">
      <alignment vertical="center" wrapText="1"/>
      <protection hidden="1"/>
    </xf>
    <xf numFmtId="0" fontId="2" fillId="2" borderId="13" xfId="0" applyFont="1" applyFill="1" applyBorder="1" applyAlignment="1" applyProtection="1">
      <alignment vertical="center" wrapText="1"/>
      <protection hidden="1"/>
    </xf>
    <xf numFmtId="0" fontId="2" fillId="5" borderId="23" xfId="0" applyFont="1" applyFill="1" applyBorder="1" applyAlignment="1" applyProtection="1">
      <alignment horizontal="left" vertical="center" wrapText="1"/>
      <protection hidden="1"/>
    </xf>
    <xf numFmtId="0" fontId="2" fillId="5" borderId="23" xfId="0" applyFont="1" applyFill="1" applyBorder="1" applyAlignment="1" applyProtection="1">
      <alignment vertical="center" wrapText="1"/>
      <protection hidden="1"/>
    </xf>
    <xf numFmtId="0" fontId="35" fillId="5" borderId="30" xfId="0" applyFont="1" applyFill="1" applyBorder="1" applyAlignment="1" applyProtection="1">
      <alignment horizontal="center" vertical="center" wrapText="1"/>
      <protection hidden="1"/>
    </xf>
    <xf numFmtId="2" fontId="2" fillId="7" borderId="18" xfId="0" applyNumberFormat="1" applyFont="1" applyFill="1" applyBorder="1" applyAlignment="1" applyProtection="1">
      <alignment horizontal="center" vertical="center" wrapText="1"/>
      <protection hidden="1"/>
    </xf>
    <xf numFmtId="0" fontId="35" fillId="7" borderId="36" xfId="0" applyFont="1" applyFill="1" applyBorder="1" applyAlignment="1" applyProtection="1">
      <alignment horizontal="center" vertical="center" wrapText="1"/>
      <protection hidden="1"/>
    </xf>
    <xf numFmtId="0" fontId="2" fillId="2" borderId="23" xfId="0" applyFont="1" applyFill="1" applyBorder="1" applyAlignment="1" applyProtection="1">
      <alignment horizontal="left" vertical="center" wrapText="1"/>
      <protection hidden="1"/>
    </xf>
    <xf numFmtId="0" fontId="2" fillId="2" borderId="23" xfId="0" applyFont="1" applyFill="1" applyBorder="1" applyAlignment="1" applyProtection="1">
      <alignment vertical="center" wrapText="1"/>
      <protection hidden="1"/>
    </xf>
    <xf numFmtId="0" fontId="2" fillId="2" borderId="32" xfId="0" applyFont="1" applyFill="1" applyBorder="1" applyAlignment="1" applyProtection="1">
      <alignment vertical="center" wrapText="1"/>
      <protection hidden="1"/>
    </xf>
    <xf numFmtId="0" fontId="2" fillId="2" borderId="9" xfId="0" applyFont="1" applyFill="1" applyBorder="1" applyAlignment="1" applyProtection="1">
      <alignment vertical="center" wrapText="1"/>
      <protection hidden="1"/>
    </xf>
    <xf numFmtId="0" fontId="2" fillId="2" borderId="34" xfId="0" applyFont="1" applyFill="1" applyBorder="1" applyAlignment="1" applyProtection="1">
      <alignment vertical="center" wrapText="1"/>
      <protection hidden="1"/>
    </xf>
    <xf numFmtId="0" fontId="35" fillId="5" borderId="32" xfId="0" applyFont="1" applyFill="1" applyBorder="1" applyAlignment="1" applyProtection="1">
      <alignment horizontal="center" vertical="center" wrapText="1"/>
      <protection hidden="1"/>
    </xf>
    <xf numFmtId="0" fontId="35" fillId="7" borderId="34" xfId="0" applyFont="1" applyFill="1" applyBorder="1" applyAlignment="1" applyProtection="1">
      <alignment horizontal="center" vertical="center" wrapText="1"/>
      <protection hidden="1"/>
    </xf>
    <xf numFmtId="0" fontId="35" fillId="7" borderId="9" xfId="0" applyFont="1" applyFill="1" applyBorder="1" applyAlignment="1" applyProtection="1">
      <alignment horizontal="center" vertical="center" wrapText="1"/>
      <protection hidden="1"/>
    </xf>
    <xf numFmtId="166" fontId="2" fillId="7" borderId="34" xfId="0" applyNumberFormat="1" applyFont="1" applyFill="1" applyBorder="1" applyAlignment="1" applyProtection="1">
      <alignment horizontal="center" vertical="center" wrapText="1"/>
      <protection hidden="1"/>
    </xf>
    <xf numFmtId="0" fontId="2" fillId="5" borderId="32" xfId="0" applyFont="1" applyFill="1" applyBorder="1" applyAlignment="1" applyProtection="1">
      <alignment vertical="center" wrapText="1"/>
      <protection hidden="1"/>
    </xf>
    <xf numFmtId="0" fontId="2" fillId="7" borderId="34" xfId="0" applyFont="1" applyFill="1" applyBorder="1" applyAlignment="1" applyProtection="1">
      <alignment horizontal="center" vertical="center" wrapText="1"/>
      <protection hidden="1"/>
    </xf>
    <xf numFmtId="0" fontId="35" fillId="5" borderId="23" xfId="0" applyFont="1" applyFill="1" applyBorder="1" applyAlignment="1" applyProtection="1">
      <alignment vertical="center" wrapText="1"/>
      <protection hidden="1"/>
    </xf>
    <xf numFmtId="0" fontId="35" fillId="2" borderId="32" xfId="0" applyFont="1" applyFill="1" applyBorder="1" applyAlignment="1" applyProtection="1">
      <alignment horizontal="center" vertical="center" wrapText="1"/>
      <protection hidden="1"/>
    </xf>
    <xf numFmtId="0" fontId="35" fillId="5" borderId="23" xfId="0" applyFont="1" applyFill="1" applyBorder="1" applyAlignment="1" applyProtection="1">
      <alignment horizontal="left" vertical="center" wrapText="1"/>
      <protection hidden="1"/>
    </xf>
    <xf numFmtId="1" fontId="2" fillId="7" borderId="1" xfId="0" applyNumberFormat="1" applyFont="1" applyFill="1" applyBorder="1" applyAlignment="1" applyProtection="1">
      <alignment horizontal="center" vertical="center" wrapText="1"/>
      <protection hidden="1"/>
    </xf>
    <xf numFmtId="11" fontId="2" fillId="7" borderId="9" xfId="0" applyNumberFormat="1" applyFont="1" applyFill="1" applyBorder="1" applyAlignment="1" applyProtection="1">
      <alignment horizontal="center" vertical="center" wrapText="1"/>
      <protection hidden="1"/>
    </xf>
    <xf numFmtId="11" fontId="2" fillId="7" borderId="34" xfId="0" applyNumberFormat="1" applyFont="1" applyFill="1" applyBorder="1" applyAlignment="1" applyProtection="1">
      <alignment horizontal="center" vertical="center" wrapText="1"/>
      <protection hidden="1"/>
    </xf>
    <xf numFmtId="0" fontId="35" fillId="5" borderId="43" xfId="0" applyFont="1" applyFill="1" applyBorder="1" applyAlignment="1" applyProtection="1">
      <alignment horizontal="center" vertical="center" wrapText="1"/>
      <protection hidden="1"/>
    </xf>
    <xf numFmtId="0" fontId="35" fillId="7" borderId="44" xfId="0" applyFont="1" applyFill="1" applyBorder="1" applyAlignment="1" applyProtection="1">
      <alignment horizontal="center" vertical="center" wrapText="1"/>
      <protection hidden="1"/>
    </xf>
    <xf numFmtId="167" fontId="2" fillId="7" borderId="37" xfId="0" applyNumberFormat="1" applyFont="1" applyFill="1" applyBorder="1" applyAlignment="1" applyProtection="1">
      <alignment horizontal="center" vertical="center" wrapText="1"/>
      <protection hidden="1"/>
    </xf>
    <xf numFmtId="169" fontId="2" fillId="2" borderId="38" xfId="0" applyNumberFormat="1" applyFont="1" applyFill="1" applyBorder="1" applyAlignment="1" applyProtection="1">
      <alignment horizontal="center" vertical="center"/>
      <protection hidden="1"/>
    </xf>
    <xf numFmtId="0" fontId="35" fillId="2" borderId="0" xfId="0" applyFont="1" applyFill="1" applyBorder="1" applyAlignment="1" applyProtection="1">
      <alignment vertical="center" wrapText="1"/>
      <protection hidden="1"/>
    </xf>
    <xf numFmtId="2" fontId="1" fillId="5" borderId="17" xfId="0" applyNumberFormat="1" applyFont="1" applyFill="1" applyBorder="1" applyAlignment="1" applyProtection="1">
      <alignment horizontal="center" vertical="center" wrapText="1"/>
      <protection hidden="1"/>
    </xf>
    <xf numFmtId="0" fontId="8" fillId="2" borderId="13" xfId="0" applyFont="1" applyFill="1" applyBorder="1" applyAlignment="1" applyProtection="1">
      <alignment horizontal="center" vertical="center" wrapText="1"/>
      <protection hidden="1"/>
    </xf>
    <xf numFmtId="0" fontId="8" fillId="2" borderId="63" xfId="0" applyFont="1" applyFill="1" applyBorder="1" applyAlignment="1" applyProtection="1">
      <alignment horizontal="center" vertical="center" wrapText="1"/>
      <protection hidden="1"/>
    </xf>
    <xf numFmtId="0" fontId="1" fillId="5" borderId="14" xfId="0" applyFont="1" applyFill="1" applyBorder="1" applyAlignment="1" applyProtection="1">
      <alignment vertical="center" wrapText="1"/>
      <protection hidden="1"/>
    </xf>
    <xf numFmtId="14" fontId="20" fillId="5" borderId="9" xfId="0" applyNumberFormat="1" applyFont="1" applyFill="1" applyBorder="1" applyAlignment="1" applyProtection="1">
      <alignment horizontal="center" vertical="center" wrapText="1"/>
      <protection hidden="1"/>
    </xf>
    <xf numFmtId="169" fontId="33" fillId="7" borderId="9" xfId="0" applyNumberFormat="1" applyFont="1" applyFill="1" applyBorder="1" applyAlignment="1" applyProtection="1">
      <alignment horizontal="center" vertical="center" wrapText="1"/>
      <protection hidden="1"/>
    </xf>
    <xf numFmtId="0" fontId="33" fillId="5" borderId="9" xfId="0" applyFont="1" applyFill="1" applyBorder="1" applyAlignment="1" applyProtection="1">
      <alignment horizontal="center" vertical="center" wrapText="1"/>
      <protection hidden="1"/>
    </xf>
    <xf numFmtId="0" fontId="33" fillId="5" borderId="34" xfId="0" applyFont="1" applyFill="1" applyBorder="1" applyAlignment="1" applyProtection="1">
      <alignment horizontal="center" vertical="center" wrapText="1"/>
      <protection hidden="1"/>
    </xf>
    <xf numFmtId="2" fontId="33" fillId="14" borderId="9" xfId="0" applyNumberFormat="1" applyFont="1" applyFill="1" applyBorder="1" applyAlignment="1" applyProtection="1">
      <alignment horizontal="center" vertical="center" wrapText="1"/>
      <protection hidden="1"/>
    </xf>
    <xf numFmtId="14" fontId="33" fillId="5" borderId="9" xfId="0" applyNumberFormat="1" applyFont="1" applyFill="1" applyBorder="1" applyAlignment="1" applyProtection="1">
      <alignment horizontal="center" vertical="center" wrapText="1"/>
      <protection hidden="1"/>
    </xf>
    <xf numFmtId="0" fontId="8" fillId="2" borderId="23" xfId="0" applyFont="1" applyFill="1" applyBorder="1" applyAlignment="1" applyProtection="1">
      <alignment horizontal="left" vertical="center" wrapText="1"/>
      <protection hidden="1"/>
    </xf>
    <xf numFmtId="169" fontId="35" fillId="2" borderId="23" xfId="0" applyNumberFormat="1" applyFont="1" applyFill="1" applyBorder="1" applyAlignment="1" applyProtection="1">
      <alignment horizontal="center" vertical="center" wrapText="1"/>
      <protection hidden="1"/>
    </xf>
    <xf numFmtId="0" fontId="35" fillId="2" borderId="33" xfId="0" applyFont="1" applyFill="1" applyBorder="1" applyAlignment="1" applyProtection="1">
      <alignment horizontal="center" vertical="center" wrapText="1"/>
      <protection hidden="1"/>
    </xf>
    <xf numFmtId="166" fontId="1" fillId="5" borderId="14" xfId="0" applyNumberFormat="1" applyFont="1" applyFill="1" applyBorder="1" applyAlignment="1" applyProtection="1">
      <alignment horizontal="center" vertical="center" wrapText="1"/>
      <protection hidden="1"/>
    </xf>
    <xf numFmtId="0" fontId="35" fillId="2" borderId="11" xfId="0" applyFont="1" applyFill="1" applyBorder="1" applyAlignment="1" applyProtection="1">
      <alignment horizontal="center" vertical="center" wrapText="1"/>
      <protection hidden="1"/>
    </xf>
    <xf numFmtId="0" fontId="2" fillId="5" borderId="14" xfId="0" applyFont="1" applyFill="1" applyBorder="1" applyAlignment="1" applyProtection="1">
      <alignment horizontal="center" vertical="center" wrapText="1"/>
      <protection hidden="1"/>
    </xf>
    <xf numFmtId="165" fontId="33" fillId="5" borderId="9" xfId="0" applyNumberFormat="1" applyFont="1" applyFill="1" applyBorder="1" applyAlignment="1" applyProtection="1">
      <alignment horizontal="center" vertical="center" wrapText="1"/>
      <protection hidden="1"/>
    </xf>
    <xf numFmtId="1" fontId="33" fillId="7" borderId="9" xfId="0" applyNumberFormat="1" applyFont="1" applyFill="1" applyBorder="1" applyAlignment="1" applyProtection="1">
      <alignment horizontal="center" vertical="center" wrapText="1"/>
      <protection hidden="1"/>
    </xf>
    <xf numFmtId="1" fontId="33" fillId="14" borderId="9" xfId="0" applyNumberFormat="1" applyFont="1" applyFill="1" applyBorder="1" applyAlignment="1" applyProtection="1">
      <alignment horizontal="center" vertical="center" wrapText="1"/>
      <protection hidden="1"/>
    </xf>
    <xf numFmtId="172" fontId="33" fillId="7" borderId="9" xfId="0" applyNumberFormat="1" applyFont="1" applyFill="1" applyBorder="1" applyAlignment="1" applyProtection="1">
      <alignment horizontal="center" vertical="center" wrapText="1"/>
      <protection hidden="1"/>
    </xf>
    <xf numFmtId="0" fontId="1" fillId="0" borderId="10" xfId="0" applyFont="1" applyFill="1" applyBorder="1" applyAlignment="1" applyProtection="1">
      <alignment horizontal="left" vertical="center" wrapText="1"/>
      <protection hidden="1"/>
    </xf>
    <xf numFmtId="0" fontId="1" fillId="0" borderId="16" xfId="0" applyFont="1" applyFill="1" applyBorder="1" applyAlignment="1" applyProtection="1">
      <alignment horizontal="left" vertical="center" wrapText="1"/>
      <protection hidden="1"/>
    </xf>
    <xf numFmtId="165" fontId="2" fillId="0" borderId="9" xfId="0" applyNumberFormat="1" applyFont="1" applyFill="1" applyBorder="1" applyAlignment="1" applyProtection="1">
      <alignment horizontal="center" vertical="center" wrapText="1"/>
      <protection hidden="1"/>
    </xf>
    <xf numFmtId="164" fontId="33" fillId="0" borderId="9" xfId="0" applyNumberFormat="1" applyFont="1" applyFill="1" applyBorder="1" applyAlignment="1" applyProtection="1">
      <alignment horizontal="center" vertical="center" wrapText="1"/>
      <protection hidden="1"/>
    </xf>
    <xf numFmtId="14" fontId="33" fillId="0" borderId="9" xfId="0" applyNumberFormat="1" applyFont="1" applyFill="1" applyBorder="1" applyAlignment="1" applyProtection="1">
      <alignment horizontal="center" vertical="center" wrapText="1"/>
      <protection hidden="1"/>
    </xf>
    <xf numFmtId="164" fontId="33" fillId="0" borderId="23" xfId="0" applyNumberFormat="1" applyFont="1" applyFill="1" applyBorder="1" applyAlignment="1" applyProtection="1">
      <alignment horizontal="center" vertical="center" wrapText="1"/>
      <protection hidden="1"/>
    </xf>
    <xf numFmtId="0" fontId="33" fillId="0" borderId="23" xfId="0" applyFont="1" applyFill="1" applyBorder="1" applyAlignment="1" applyProtection="1">
      <alignment horizontal="center" vertical="center" wrapText="1"/>
      <protection hidden="1"/>
    </xf>
    <xf numFmtId="14" fontId="33" fillId="0" borderId="23" xfId="0" applyNumberFormat="1" applyFont="1" applyFill="1" applyBorder="1" applyAlignment="1" applyProtection="1">
      <alignment horizontal="center" vertical="center" wrapText="1"/>
      <protection hidden="1"/>
    </xf>
    <xf numFmtId="1" fontId="33" fillId="0" borderId="23" xfId="0" applyNumberFormat="1" applyFont="1" applyFill="1" applyBorder="1" applyAlignment="1" applyProtection="1">
      <alignment horizontal="center" vertical="center" wrapText="1"/>
      <protection hidden="1"/>
    </xf>
    <xf numFmtId="169" fontId="33" fillId="0" borderId="23" xfId="0" applyNumberFormat="1" applyFont="1" applyFill="1" applyBorder="1" applyAlignment="1" applyProtection="1">
      <alignment horizontal="center" vertical="center" wrapText="1"/>
      <protection hidden="1"/>
    </xf>
    <xf numFmtId="0" fontId="33" fillId="0" borderId="33" xfId="0" applyFont="1" applyFill="1" applyBorder="1" applyAlignment="1" applyProtection="1">
      <alignment horizontal="center" vertical="center" wrapText="1"/>
      <protection hidden="1"/>
    </xf>
    <xf numFmtId="171" fontId="35" fillId="2" borderId="23" xfId="0" applyNumberFormat="1" applyFont="1" applyFill="1" applyBorder="1" applyAlignment="1" applyProtection="1">
      <alignment horizontal="center" vertical="center" wrapText="1"/>
      <protection hidden="1"/>
    </xf>
    <xf numFmtId="0" fontId="2" fillId="5" borderId="14" xfId="0" applyFont="1" applyFill="1" applyBorder="1" applyAlignment="1" applyProtection="1">
      <alignment vertical="center" wrapText="1"/>
      <protection hidden="1"/>
    </xf>
    <xf numFmtId="164" fontId="33" fillId="14" borderId="9" xfId="0" applyNumberFormat="1" applyFont="1" applyFill="1" applyBorder="1" applyAlignment="1" applyProtection="1">
      <alignment horizontal="center" vertical="center" wrapText="1"/>
      <protection hidden="1"/>
    </xf>
    <xf numFmtId="11" fontId="1" fillId="5" borderId="14" xfId="0" applyNumberFormat="1" applyFont="1" applyFill="1" applyBorder="1" applyAlignment="1" applyProtection="1">
      <alignment horizontal="center" vertical="center" wrapText="1"/>
      <protection hidden="1"/>
    </xf>
    <xf numFmtId="11" fontId="33" fillId="7" borderId="9" xfId="0" applyNumberFormat="1" applyFont="1" applyFill="1" applyBorder="1" applyAlignment="1" applyProtection="1">
      <alignment horizontal="center" vertical="center" wrapText="1"/>
      <protection hidden="1"/>
    </xf>
    <xf numFmtId="186" fontId="33" fillId="14" borderId="9" xfId="0" applyNumberFormat="1" applyFont="1" applyFill="1" applyBorder="1" applyAlignment="1" applyProtection="1">
      <alignment horizontal="center" vertical="center" wrapText="1"/>
      <protection hidden="1"/>
    </xf>
    <xf numFmtId="11" fontId="33" fillId="14" borderId="9" xfId="0" applyNumberFormat="1"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wrapText="1"/>
      <protection hidden="1"/>
    </xf>
    <xf numFmtId="0" fontId="2" fillId="9" borderId="0" xfId="0" applyFont="1" applyFill="1" applyAlignment="1" applyProtection="1">
      <alignment vertical="center" wrapText="1"/>
      <protection hidden="1"/>
    </xf>
    <xf numFmtId="0" fontId="1" fillId="5" borderId="57" xfId="0" applyFont="1" applyFill="1" applyBorder="1" applyAlignment="1" applyProtection="1">
      <alignment horizontal="center" vertical="center" wrapText="1"/>
      <protection hidden="1"/>
    </xf>
    <xf numFmtId="168" fontId="33" fillId="14" borderId="44" xfId="0" applyNumberFormat="1" applyFont="1" applyFill="1" applyBorder="1" applyAlignment="1" applyProtection="1">
      <alignment horizontal="center" vertical="center" wrapText="1"/>
      <protection hidden="1"/>
    </xf>
    <xf numFmtId="0" fontId="33" fillId="5" borderId="44" xfId="0" applyFont="1" applyFill="1" applyBorder="1" applyAlignment="1" applyProtection="1">
      <alignment horizontal="center" vertical="center" wrapText="1"/>
      <protection hidden="1"/>
    </xf>
    <xf numFmtId="1" fontId="33" fillId="14" borderId="44" xfId="0" applyNumberFormat="1" applyFont="1" applyFill="1" applyBorder="1" applyAlignment="1" applyProtection="1">
      <alignment horizontal="center" vertical="center" wrapText="1"/>
      <protection hidden="1"/>
    </xf>
    <xf numFmtId="169" fontId="33" fillId="7" borderId="44" xfId="0" applyNumberFormat="1" applyFont="1" applyFill="1" applyBorder="1" applyAlignment="1" applyProtection="1">
      <alignment horizontal="center" vertical="center" wrapText="1"/>
      <protection hidden="1"/>
    </xf>
    <xf numFmtId="0" fontId="33" fillId="5" borderId="37" xfId="0" applyFont="1" applyFill="1" applyBorder="1" applyAlignment="1" applyProtection="1">
      <alignment horizontal="center" vertical="center" wrapText="1"/>
      <protection hidden="1"/>
    </xf>
    <xf numFmtId="184" fontId="2" fillId="0" borderId="0" xfId="0" applyNumberFormat="1" applyFont="1" applyAlignment="1" applyProtection="1">
      <alignment vertical="center" wrapText="1"/>
      <protection hidden="1"/>
    </xf>
    <xf numFmtId="0" fontId="1" fillId="5" borderId="48" xfId="0" applyFont="1" applyFill="1" applyBorder="1" applyAlignment="1" applyProtection="1">
      <alignment horizontal="left" vertical="center" wrapText="1"/>
      <protection hidden="1"/>
    </xf>
    <xf numFmtId="0" fontId="33" fillId="5" borderId="40" xfId="0" applyFont="1" applyFill="1" applyBorder="1" applyAlignment="1" applyProtection="1">
      <alignment horizontal="center" vertical="center" wrapText="1"/>
      <protection hidden="1"/>
    </xf>
    <xf numFmtId="169" fontId="33" fillId="7" borderId="40" xfId="0" applyNumberFormat="1" applyFont="1" applyFill="1" applyBorder="1" applyAlignment="1" applyProtection="1">
      <alignment horizontal="center" vertical="center" wrapText="1"/>
      <protection hidden="1"/>
    </xf>
    <xf numFmtId="0" fontId="33" fillId="5" borderId="41" xfId="0" applyFont="1" applyFill="1" applyBorder="1" applyAlignment="1" applyProtection="1">
      <alignment horizontal="center" vertical="center" wrapText="1"/>
      <protection hidden="1"/>
    </xf>
    <xf numFmtId="0" fontId="1" fillId="5" borderId="14" xfId="0" applyFont="1" applyFill="1" applyBorder="1" applyAlignment="1" applyProtection="1">
      <alignment horizontal="left" vertical="center" wrapText="1"/>
      <protection hidden="1"/>
    </xf>
    <xf numFmtId="169" fontId="2" fillId="7" borderId="9" xfId="0" applyNumberFormat="1"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right" vertical="center" wrapText="1"/>
      <protection hidden="1"/>
    </xf>
    <xf numFmtId="0" fontId="1" fillId="14" borderId="57" xfId="0" applyFont="1" applyFill="1" applyBorder="1" applyAlignment="1" applyProtection="1">
      <alignment horizontal="left" vertical="center" wrapText="1"/>
      <protection hidden="1"/>
    </xf>
    <xf numFmtId="0" fontId="2" fillId="14" borderId="44" xfId="0" applyFont="1" applyFill="1" applyBorder="1" applyAlignment="1" applyProtection="1">
      <alignment horizontal="center" vertical="center" wrapText="1"/>
      <protection hidden="1"/>
    </xf>
    <xf numFmtId="169" fontId="33" fillId="14" borderId="44" xfId="0" applyNumberFormat="1" applyFont="1" applyFill="1" applyBorder="1" applyAlignment="1" applyProtection="1">
      <alignment horizontal="center" vertical="center" wrapText="1"/>
      <protection hidden="1"/>
    </xf>
    <xf numFmtId="0" fontId="1" fillId="2" borderId="52" xfId="0"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33" fillId="5" borderId="21" xfId="0" applyFont="1" applyFill="1" applyBorder="1" applyAlignment="1" applyProtection="1">
      <alignment horizontal="center" vertical="center" wrapText="1"/>
      <protection hidden="1"/>
    </xf>
    <xf numFmtId="0" fontId="33" fillId="5" borderId="22" xfId="0" applyFont="1" applyFill="1" applyBorder="1" applyAlignment="1" applyProtection="1">
      <alignment horizontal="center" vertical="center" wrapText="1"/>
      <protection hidden="1"/>
    </xf>
    <xf numFmtId="0" fontId="33" fillId="5" borderId="20" xfId="0" applyFont="1" applyFill="1" applyBorder="1" applyAlignment="1" applyProtection="1">
      <alignment horizontal="center" vertical="center" wrapText="1"/>
      <protection hidden="1"/>
    </xf>
    <xf numFmtId="2" fontId="2" fillId="2" borderId="0" xfId="0" applyNumberFormat="1" applyFont="1" applyFill="1" applyAlignment="1" applyProtection="1">
      <alignment horizontal="center" vertical="center" wrapText="1"/>
      <protection hidden="1"/>
    </xf>
    <xf numFmtId="0" fontId="9" fillId="5" borderId="58" xfId="0" applyFont="1" applyFill="1" applyBorder="1" applyAlignment="1" applyProtection="1">
      <alignment horizontal="center" vertical="center" wrapText="1"/>
      <protection hidden="1"/>
    </xf>
    <xf numFmtId="178" fontId="33" fillId="7" borderId="39" xfId="0" applyNumberFormat="1" applyFont="1" applyFill="1" applyBorder="1" applyAlignment="1" applyProtection="1">
      <alignment horizontal="center" vertical="center" wrapText="1"/>
      <protection hidden="1"/>
    </xf>
    <xf numFmtId="167" fontId="2" fillId="7" borderId="41" xfId="0" applyNumberFormat="1" applyFont="1" applyFill="1" applyBorder="1" applyAlignment="1" applyProtection="1">
      <alignment horizontal="center" vertical="center" wrapText="1"/>
      <protection hidden="1"/>
    </xf>
    <xf numFmtId="167" fontId="2" fillId="14" borderId="59" xfId="0" applyNumberFormat="1" applyFont="1" applyFill="1" applyBorder="1" applyAlignment="1" applyProtection="1">
      <alignment horizontal="center" vertical="center" wrapText="1"/>
      <protection hidden="1"/>
    </xf>
    <xf numFmtId="167" fontId="2" fillId="7" borderId="48" xfId="0" applyNumberFormat="1" applyFont="1" applyFill="1" applyBorder="1" applyAlignment="1" applyProtection="1">
      <alignment horizontal="center" vertical="center" wrapText="1"/>
      <protection hidden="1"/>
    </xf>
    <xf numFmtId="167" fontId="2" fillId="7" borderId="40" xfId="0" applyNumberFormat="1" applyFont="1" applyFill="1" applyBorder="1" applyAlignment="1" applyProtection="1">
      <alignment horizontal="center" vertical="center" wrapText="1"/>
      <protection hidden="1"/>
    </xf>
    <xf numFmtId="2" fontId="2" fillId="7" borderId="41" xfId="0" applyNumberFormat="1" applyFont="1" applyFill="1" applyBorder="1" applyAlignment="1" applyProtection="1">
      <alignment horizontal="center" vertical="center" wrapText="1"/>
      <protection hidden="1"/>
    </xf>
    <xf numFmtId="167" fontId="2" fillId="2" borderId="0" xfId="0" applyNumberFormat="1" applyFont="1" applyFill="1" applyAlignment="1" applyProtection="1">
      <alignment vertical="center" wrapText="1"/>
      <protection hidden="1"/>
    </xf>
    <xf numFmtId="0" fontId="9" fillId="5" borderId="35" xfId="0" applyFont="1" applyFill="1" applyBorder="1" applyAlignment="1" applyProtection="1">
      <alignment horizontal="center" vertical="center" wrapText="1"/>
      <protection hidden="1"/>
    </xf>
    <xf numFmtId="2" fontId="2" fillId="7" borderId="23" xfId="0" applyNumberFormat="1" applyFont="1" applyFill="1" applyBorder="1" applyAlignment="1" applyProtection="1">
      <alignment horizontal="center" vertical="center" wrapText="1"/>
      <protection hidden="1"/>
    </xf>
    <xf numFmtId="2" fontId="2" fillId="7" borderId="14" xfId="0" applyNumberFormat="1"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5" fontId="2" fillId="7" borderId="32" xfId="0" applyNumberFormat="1" applyFont="1" applyFill="1" applyBorder="1" applyAlignment="1" applyProtection="1">
      <alignment horizontal="center" vertical="center" wrapText="1"/>
      <protection hidden="1"/>
    </xf>
    <xf numFmtId="164" fontId="2" fillId="7" borderId="34" xfId="0" applyNumberFormat="1" applyFont="1" applyFill="1" applyBorder="1" applyAlignment="1" applyProtection="1">
      <alignment horizontal="center" vertical="center" wrapText="1"/>
      <protection hidden="1"/>
    </xf>
    <xf numFmtId="165" fontId="2" fillId="7" borderId="23" xfId="0" applyNumberFormat="1" applyFont="1" applyFill="1" applyBorder="1" applyAlignment="1" applyProtection="1">
      <alignment horizontal="center" vertical="center" wrapText="1"/>
      <protection hidden="1"/>
    </xf>
    <xf numFmtId="165" fontId="2" fillId="7" borderId="14" xfId="0" applyNumberFormat="1" applyFont="1" applyFill="1" applyBorder="1" applyAlignment="1" applyProtection="1">
      <alignment horizontal="center" vertical="center" wrapText="1"/>
      <protection hidden="1"/>
    </xf>
    <xf numFmtId="165" fontId="2" fillId="7" borderId="9" xfId="0" applyNumberFormat="1" applyFont="1" applyFill="1" applyBorder="1" applyAlignment="1" applyProtection="1">
      <alignment horizontal="center" vertical="center" wrapText="1"/>
      <protection hidden="1"/>
    </xf>
    <xf numFmtId="169" fontId="2" fillId="7" borderId="34" xfId="0" applyNumberFormat="1" applyFont="1" applyFill="1" applyBorder="1" applyAlignment="1" applyProtection="1">
      <alignment horizontal="center" vertical="center" wrapText="1"/>
      <protection hidden="1"/>
    </xf>
    <xf numFmtId="2" fontId="2" fillId="7" borderId="42" xfId="0" applyNumberFormat="1" applyFont="1" applyFill="1" applyBorder="1" applyAlignment="1" applyProtection="1">
      <alignment horizontal="center" vertical="center" wrapText="1"/>
      <protection hidden="1"/>
    </xf>
    <xf numFmtId="2" fontId="2" fillId="7" borderId="60"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wrapText="1"/>
      <protection hidden="1"/>
    </xf>
    <xf numFmtId="0" fontId="1" fillId="5" borderId="56" xfId="0" applyFont="1" applyFill="1" applyBorder="1" applyAlignment="1" applyProtection="1">
      <alignment horizontal="center" vertical="center" wrapText="1"/>
      <protection hidden="1"/>
    </xf>
    <xf numFmtId="2" fontId="2" fillId="7" borderId="43" xfId="0" applyNumberFormat="1" applyFont="1" applyFill="1" applyBorder="1" applyAlignment="1" applyProtection="1">
      <alignment horizontal="center" vertical="center" wrapText="1"/>
      <protection hidden="1"/>
    </xf>
    <xf numFmtId="164" fontId="2" fillId="7" borderId="37" xfId="0" applyNumberFormat="1" applyFont="1" applyFill="1" applyBorder="1" applyAlignment="1" applyProtection="1">
      <alignment horizontal="center" vertical="center" wrapText="1"/>
      <protection hidden="1"/>
    </xf>
    <xf numFmtId="164" fontId="2" fillId="7" borderId="62" xfId="0" applyNumberFormat="1" applyFont="1" applyFill="1" applyBorder="1" applyAlignment="1" applyProtection="1">
      <alignment horizontal="center" vertical="center" wrapText="1"/>
      <protection hidden="1"/>
    </xf>
    <xf numFmtId="164" fontId="2" fillId="7" borderId="57" xfId="0" applyNumberFormat="1" applyFont="1" applyFill="1" applyBorder="1" applyAlignment="1" applyProtection="1">
      <alignment horizontal="center" vertical="center" wrapText="1"/>
      <protection hidden="1"/>
    </xf>
    <xf numFmtId="165" fontId="2" fillId="7" borderId="44" xfId="0" applyNumberFormat="1" applyFont="1" applyFill="1" applyBorder="1" applyAlignment="1" applyProtection="1">
      <alignment horizontal="center" vertical="center" wrapText="1"/>
      <protection hidden="1"/>
    </xf>
    <xf numFmtId="165" fontId="2" fillId="0" borderId="0" xfId="0" applyNumberFormat="1" applyFont="1" applyAlignment="1" applyProtection="1">
      <alignment horizontal="center" vertical="center" wrapText="1"/>
      <protection hidden="1"/>
    </xf>
    <xf numFmtId="165" fontId="2" fillId="0" borderId="0" xfId="0" applyNumberFormat="1" applyFont="1" applyAlignment="1" applyProtection="1">
      <alignment vertical="center" wrapText="1"/>
      <protection hidden="1"/>
    </xf>
    <xf numFmtId="166" fontId="2" fillId="7" borderId="1" xfId="0" applyNumberFormat="1" applyFont="1" applyFill="1" applyBorder="1" applyAlignment="1" applyProtection="1">
      <alignment horizontal="center" vertical="center" wrapText="1"/>
      <protection hidden="1"/>
    </xf>
    <xf numFmtId="166" fontId="2" fillId="0" borderId="0" xfId="0" applyNumberFormat="1" applyFont="1" applyBorder="1" applyAlignment="1" applyProtection="1">
      <alignment vertical="center" wrapText="1"/>
      <protection hidden="1"/>
    </xf>
    <xf numFmtId="164" fontId="33" fillId="7" borderId="9" xfId="0" applyNumberFormat="1" applyFont="1" applyFill="1" applyBorder="1" applyAlignment="1" applyProtection="1">
      <alignment horizontal="center" vertical="center" wrapText="1"/>
      <protection hidden="1"/>
    </xf>
    <xf numFmtId="172" fontId="33" fillId="7" borderId="44" xfId="0" applyNumberFormat="1" applyFont="1" applyFill="1" applyBorder="1" applyAlignment="1" applyProtection="1">
      <alignment horizontal="center" vertical="center" wrapText="1"/>
      <protection hidden="1"/>
    </xf>
    <xf numFmtId="172" fontId="2" fillId="7" borderId="34" xfId="0" applyNumberFormat="1" applyFont="1" applyFill="1" applyBorder="1" applyAlignment="1" applyProtection="1">
      <alignment horizontal="center" vertical="center" wrapText="1"/>
      <protection hidden="1"/>
    </xf>
    <xf numFmtId="166" fontId="2" fillId="12" borderId="9" xfId="0" applyNumberFormat="1" applyFont="1" applyFill="1" applyBorder="1" applyAlignment="1" applyProtection="1">
      <alignment horizontal="center" vertical="center" wrapText="1"/>
      <protection hidden="1"/>
    </xf>
    <xf numFmtId="166" fontId="2" fillId="12" borderId="44" xfId="0" applyNumberFormat="1" applyFont="1" applyFill="1" applyBorder="1" applyAlignment="1" applyProtection="1">
      <alignment horizontal="center" vertical="center" wrapText="1"/>
      <protection hidden="1"/>
    </xf>
    <xf numFmtId="0" fontId="33" fillId="14" borderId="3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1" fillId="16" borderId="8"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2" fillId="5" borderId="23"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167" fontId="54" fillId="14" borderId="1" xfId="0" applyNumberFormat="1" applyFont="1" applyFill="1" applyBorder="1" applyAlignment="1" applyProtection="1">
      <alignment horizontal="centerContinuous" vertical="center" wrapText="1"/>
      <protection hidden="1"/>
    </xf>
    <xf numFmtId="167" fontId="54" fillId="14" borderId="1" xfId="0" applyNumberFormat="1" applyFont="1" applyFill="1" applyBorder="1" applyAlignment="1" applyProtection="1">
      <alignment horizontal="center" vertical="center" wrapText="1"/>
      <protection hidden="1"/>
    </xf>
    <xf numFmtId="0" fontId="1" fillId="18" borderId="20" xfId="0" applyFont="1" applyFill="1" applyBorder="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66"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vertical="center"/>
      <protection hidden="1"/>
    </xf>
    <xf numFmtId="2" fontId="33" fillId="0" borderId="0" xfId="0" applyNumberFormat="1" applyFont="1" applyFill="1" applyBorder="1" applyAlignment="1" applyProtection="1">
      <alignment horizontal="center" vertical="center"/>
      <protection hidden="1"/>
    </xf>
    <xf numFmtId="167"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165" fontId="33" fillId="0" borderId="0" xfId="0" applyNumberFormat="1" applyFont="1" applyFill="1" applyBorder="1" applyAlignment="1" applyProtection="1">
      <alignment horizontal="center" vertical="center"/>
      <protection hidden="1"/>
    </xf>
    <xf numFmtId="0" fontId="35" fillId="0" borderId="0" xfId="0" applyFont="1" applyFill="1" applyBorder="1" applyAlignment="1" applyProtection="1">
      <alignment vertical="center" wrapText="1"/>
      <protection hidden="1"/>
    </xf>
    <xf numFmtId="0" fontId="33" fillId="0" borderId="49" xfId="0" applyFont="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0" fontId="9" fillId="18" borderId="28" xfId="0" applyFont="1" applyFill="1" applyBorder="1" applyAlignment="1" applyProtection="1">
      <alignment horizontal="center" vertical="center" wrapText="1"/>
      <protection hidden="1"/>
    </xf>
    <xf numFmtId="14" fontId="33" fillId="0" borderId="0" xfId="0" applyNumberFormat="1" applyFont="1" applyFill="1" applyBorder="1" applyAlignment="1" applyProtection="1">
      <alignment horizontal="center" vertical="center" wrapText="1"/>
      <protection hidden="1"/>
    </xf>
    <xf numFmtId="170" fontId="33" fillId="0" borderId="0" xfId="0" applyNumberFormat="1"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vertical="center" wrapText="1"/>
      <protection hidden="1"/>
    </xf>
    <xf numFmtId="166" fontId="58" fillId="7" borderId="11" xfId="0" applyNumberFormat="1" applyFont="1" applyFill="1" applyBorder="1" applyAlignment="1" applyProtection="1">
      <alignment horizontal="center" vertical="center"/>
      <protection hidden="1"/>
    </xf>
    <xf numFmtId="166" fontId="9" fillId="7" borderId="11" xfId="0" applyNumberFormat="1" applyFont="1" applyFill="1" applyBorder="1" applyAlignment="1" applyProtection="1">
      <alignment horizontal="center" vertical="center"/>
      <protection hidden="1"/>
    </xf>
    <xf numFmtId="166" fontId="58" fillId="7" borderId="55" xfId="0" applyNumberFormat="1" applyFont="1" applyFill="1" applyBorder="1" applyAlignment="1" applyProtection="1">
      <alignment horizontal="center" vertical="center"/>
      <protection hidden="1"/>
    </xf>
    <xf numFmtId="165" fontId="58" fillId="7" borderId="31" xfId="0" applyNumberFormat="1" applyFont="1" applyFill="1" applyBorder="1" applyAlignment="1" applyProtection="1">
      <alignment horizontal="center" vertical="center"/>
      <protection hidden="1"/>
    </xf>
    <xf numFmtId="165" fontId="58" fillId="7" borderId="11" xfId="0" applyNumberFormat="1" applyFont="1" applyFill="1" applyBorder="1" applyAlignment="1" applyProtection="1">
      <alignment horizontal="center" vertical="center"/>
      <protection hidden="1"/>
    </xf>
    <xf numFmtId="165" fontId="9" fillId="7" borderId="11" xfId="0" applyNumberFormat="1" applyFont="1" applyFill="1" applyBorder="1" applyAlignment="1" applyProtection="1">
      <alignment horizontal="center" vertical="center"/>
      <protection hidden="1"/>
    </xf>
    <xf numFmtId="165" fontId="58" fillId="7" borderId="55" xfId="0" applyNumberFormat="1" applyFont="1" applyFill="1" applyBorder="1" applyAlignment="1" applyProtection="1">
      <alignment horizontal="center" vertical="center"/>
      <protection hidden="1"/>
    </xf>
    <xf numFmtId="2" fontId="20" fillId="14" borderId="40" xfId="0" applyNumberFormat="1" applyFont="1" applyFill="1" applyBorder="1" applyAlignment="1" applyProtection="1">
      <alignment horizontal="center" vertical="center" wrapText="1"/>
      <protection hidden="1"/>
    </xf>
    <xf numFmtId="165" fontId="20" fillId="14" borderId="9" xfId="0" applyNumberFormat="1" applyFont="1" applyFill="1" applyBorder="1" applyAlignment="1" applyProtection="1">
      <alignment horizontal="center" vertical="center" wrapText="1"/>
      <protection hidden="1"/>
    </xf>
    <xf numFmtId="0" fontId="9" fillId="18" borderId="20" xfId="0" applyFont="1" applyFill="1" applyBorder="1" applyAlignment="1" applyProtection="1">
      <alignment horizontal="center" vertical="center" wrapText="1"/>
      <protection hidden="1"/>
    </xf>
    <xf numFmtId="0" fontId="35" fillId="0" borderId="0" xfId="0" applyFont="1" applyFill="1" applyBorder="1" applyProtection="1">
      <protection hidden="1"/>
    </xf>
    <xf numFmtId="2" fontId="8" fillId="0" borderId="0" xfId="0" applyNumberFormat="1" applyFont="1" applyFill="1" applyBorder="1" applyAlignment="1" applyProtection="1">
      <alignment horizontal="center" wrapText="1"/>
      <protection hidden="1"/>
    </xf>
    <xf numFmtId="166" fontId="8" fillId="0" borderId="0" xfId="0" applyNumberFormat="1" applyFont="1" applyFill="1" applyBorder="1" applyAlignment="1" applyProtection="1">
      <alignment horizontal="center" wrapText="1"/>
      <protection hidden="1"/>
    </xf>
    <xf numFmtId="165" fontId="8" fillId="0" borderId="0" xfId="0" applyNumberFormat="1" applyFont="1" applyFill="1" applyBorder="1" applyAlignment="1" applyProtection="1">
      <alignment horizontal="center" wrapText="1"/>
      <protection hidden="1"/>
    </xf>
    <xf numFmtId="0" fontId="33" fillId="0" borderId="0" xfId="0" applyFont="1" applyFill="1" applyBorder="1" applyAlignment="1" applyProtection="1">
      <alignment horizontal="center" vertical="center"/>
      <protection hidden="1"/>
    </xf>
    <xf numFmtId="0" fontId="33" fillId="7" borderId="35" xfId="0" applyFont="1" applyFill="1" applyBorder="1" applyAlignment="1" applyProtection="1">
      <alignment horizontal="center" vertical="center"/>
      <protection hidden="1"/>
    </xf>
    <xf numFmtId="0" fontId="33" fillId="7" borderId="55" xfId="0" applyFont="1" applyFill="1" applyBorder="1" applyAlignment="1" applyProtection="1">
      <alignment vertical="center"/>
      <protection hidden="1"/>
    </xf>
    <xf numFmtId="0" fontId="33" fillId="7" borderId="37" xfId="0" applyFont="1" applyFill="1" applyBorder="1" applyAlignment="1" applyProtection="1">
      <alignment vertical="center" wrapText="1"/>
      <protection hidden="1"/>
    </xf>
    <xf numFmtId="172" fontId="33" fillId="7" borderId="41" xfId="0" applyNumberFormat="1" applyFont="1" applyFill="1" applyBorder="1" applyAlignment="1" applyProtection="1">
      <alignment horizontal="center" vertical="center" wrapText="1"/>
      <protection hidden="1"/>
    </xf>
    <xf numFmtId="172" fontId="33" fillId="7" borderId="37"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protection hidden="1"/>
    </xf>
    <xf numFmtId="170" fontId="9" fillId="5" borderId="22" xfId="0" applyNumberFormat="1" applyFont="1" applyFill="1" applyBorder="1" applyAlignment="1" applyProtection="1">
      <alignment horizontal="center" vertical="center" wrapText="1"/>
      <protection hidden="1"/>
    </xf>
    <xf numFmtId="14" fontId="33" fillId="7" borderId="40" xfId="0" applyNumberFormat="1" applyFont="1" applyFill="1" applyBorder="1" applyAlignment="1" applyProtection="1">
      <alignment horizontal="center" vertical="center"/>
      <protection hidden="1"/>
    </xf>
    <xf numFmtId="178" fontId="33" fillId="7" borderId="44"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protection hidden="1"/>
    </xf>
    <xf numFmtId="166" fontId="58" fillId="7" borderId="27" xfId="0" applyNumberFormat="1" applyFont="1" applyFill="1" applyBorder="1" applyAlignment="1" applyProtection="1">
      <alignment horizontal="center" vertical="center"/>
      <protection hidden="1"/>
    </xf>
    <xf numFmtId="165" fontId="58" fillId="7" borderId="58" xfId="0" applyNumberFormat="1" applyFont="1" applyFill="1" applyBorder="1" applyAlignment="1" applyProtection="1">
      <alignment horizontal="center" vertical="center"/>
      <protection hidden="1"/>
    </xf>
    <xf numFmtId="166" fontId="58" fillId="7" borderId="40" xfId="0" applyNumberFormat="1" applyFont="1" applyFill="1" applyBorder="1" applyAlignment="1" applyProtection="1">
      <alignment horizontal="center" vertical="center"/>
      <protection hidden="1"/>
    </xf>
    <xf numFmtId="1" fontId="33" fillId="0" borderId="7" xfId="0" applyNumberFormat="1" applyFont="1" applyFill="1" applyBorder="1" applyAlignment="1" applyProtection="1">
      <alignment vertical="center" wrapText="1"/>
      <protection hidden="1"/>
    </xf>
    <xf numFmtId="166" fontId="33" fillId="0" borderId="7" xfId="0" applyNumberFormat="1" applyFont="1" applyBorder="1" applyAlignment="1" applyProtection="1">
      <alignment horizontal="center" vertical="center"/>
      <protection hidden="1"/>
    </xf>
    <xf numFmtId="0" fontId="33" fillId="0" borderId="7" xfId="0" applyFont="1" applyFill="1" applyBorder="1" applyAlignment="1" applyProtection="1">
      <alignment horizontal="center" vertical="center"/>
      <protection hidden="1"/>
    </xf>
    <xf numFmtId="0" fontId="33" fillId="0" borderId="6" xfId="0" applyFont="1" applyFill="1" applyBorder="1" applyProtection="1">
      <protection hidden="1"/>
    </xf>
    <xf numFmtId="170" fontId="33" fillId="0" borderId="7" xfId="0" applyNumberFormat="1" applyFont="1" applyBorder="1" applyProtection="1">
      <protection hidden="1"/>
    </xf>
    <xf numFmtId="0" fontId="33" fillId="0" borderId="7" xfId="0" applyFont="1" applyFill="1" applyBorder="1" applyProtection="1">
      <protection hidden="1"/>
    </xf>
    <xf numFmtId="170" fontId="9" fillId="5" borderId="53" xfId="0" applyNumberFormat="1" applyFont="1" applyFill="1" applyBorder="1" applyAlignment="1" applyProtection="1">
      <alignment horizontal="center" vertical="center" wrapText="1"/>
      <protection hidden="1"/>
    </xf>
    <xf numFmtId="0" fontId="1" fillId="5" borderId="53"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170" fontId="9" fillId="5" borderId="67" xfId="0" applyNumberFormat="1" applyFont="1" applyFill="1" applyBorder="1" applyAlignment="1" applyProtection="1">
      <alignment horizontal="center" vertical="center" wrapText="1"/>
      <protection hidden="1"/>
    </xf>
    <xf numFmtId="0" fontId="33" fillId="0" borderId="6" xfId="0" applyFont="1" applyBorder="1" applyAlignment="1" applyProtection="1">
      <alignment horizontal="center" vertical="center"/>
      <protection hidden="1"/>
    </xf>
    <xf numFmtId="0" fontId="33" fillId="0" borderId="7" xfId="0" applyFont="1" applyBorder="1" applyAlignment="1" applyProtection="1">
      <alignment horizontal="center"/>
      <protection hidden="1"/>
    </xf>
    <xf numFmtId="14" fontId="33" fillId="7" borderId="40" xfId="0" applyNumberFormat="1" applyFont="1" applyFill="1" applyBorder="1" applyAlignment="1" applyProtection="1">
      <alignment horizontal="center" vertical="center" wrapText="1"/>
      <protection hidden="1"/>
    </xf>
    <xf numFmtId="170" fontId="33" fillId="0" borderId="5" xfId="0" applyNumberFormat="1" applyFont="1" applyBorder="1" applyAlignment="1" applyProtection="1">
      <alignment horizontal="center" vertical="center"/>
      <protection hidden="1"/>
    </xf>
    <xf numFmtId="0" fontId="33" fillId="7" borderId="19" xfId="0" applyFont="1" applyFill="1" applyBorder="1" applyAlignment="1" applyProtection="1">
      <alignment horizontal="center" vertical="center"/>
      <protection hidden="1"/>
    </xf>
    <xf numFmtId="0" fontId="33" fillId="0" borderId="38" xfId="0" applyFont="1" applyBorder="1" applyProtection="1">
      <protection hidden="1"/>
    </xf>
    <xf numFmtId="164" fontId="33" fillId="0" borderId="0" xfId="0" applyNumberFormat="1" applyFont="1" applyFill="1" applyBorder="1" applyAlignment="1" applyProtection="1">
      <alignment horizontal="center"/>
      <protection hidden="1"/>
    </xf>
    <xf numFmtId="0" fontId="33" fillId="2" borderId="23" xfId="0" applyFont="1" applyFill="1" applyBorder="1" applyAlignment="1" applyProtection="1">
      <alignment horizontal="center" vertical="center" wrapText="1"/>
      <protection hidden="1"/>
    </xf>
    <xf numFmtId="11" fontId="33" fillId="2" borderId="23" xfId="0" applyNumberFormat="1" applyFont="1" applyFill="1" applyBorder="1" applyAlignment="1" applyProtection="1">
      <alignment horizontal="center" vertical="center" wrapText="1"/>
      <protection hidden="1"/>
    </xf>
    <xf numFmtId="0" fontId="1" fillId="0" borderId="0" xfId="0" applyFont="1" applyFill="1" applyBorder="1" applyAlignment="1">
      <alignment horizontal="center" vertical="center"/>
    </xf>
    <xf numFmtId="0" fontId="33" fillId="0" borderId="0" xfId="0" applyFont="1" applyAlignment="1" applyProtection="1">
      <alignment horizontal="justify" vertical="justify" wrapText="1"/>
      <protection hidden="1"/>
    </xf>
    <xf numFmtId="0" fontId="11" fillId="0" borderId="6"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33" fillId="0" borderId="0" xfId="0" applyFont="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1" fillId="0" borderId="0" xfId="0" applyFont="1" applyAlignment="1" applyProtection="1">
      <alignment horizontal="center"/>
      <protection hidden="1"/>
    </xf>
    <xf numFmtId="0" fontId="33" fillId="2" borderId="0" xfId="0" applyFont="1" applyFill="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9" fillId="0" borderId="0" xfId="0" applyFont="1" applyAlignment="1" applyProtection="1">
      <alignment horizontal="center"/>
      <protection hidden="1"/>
    </xf>
    <xf numFmtId="0" fontId="19" fillId="0" borderId="44"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center" wrapText="1"/>
      <protection hidden="1"/>
    </xf>
    <xf numFmtId="0" fontId="9" fillId="0" borderId="0" xfId="0" applyFont="1" applyAlignment="1" applyProtection="1">
      <alignment horizontal="center" vertical="center" wrapText="1"/>
      <protection hidden="1"/>
    </xf>
    <xf numFmtId="1" fontId="9" fillId="0" borderId="0" xfId="0" applyNumberFormat="1" applyFont="1" applyAlignment="1" applyProtection="1">
      <alignment horizontal="left"/>
      <protection hidden="1"/>
    </xf>
    <xf numFmtId="0" fontId="60" fillId="0" borderId="0" xfId="0" applyFont="1" applyFill="1" applyBorder="1" applyAlignment="1" applyProtection="1">
      <alignment horizontal="center" wrapText="1"/>
      <protection hidden="1"/>
    </xf>
    <xf numFmtId="0" fontId="31" fillId="0" borderId="0" xfId="0" applyFont="1" applyAlignment="1" applyProtection="1">
      <alignment horizontal="left" vertical="center" wrapText="1"/>
      <protection hidden="1"/>
    </xf>
    <xf numFmtId="2" fontId="36" fillId="14" borderId="22" xfId="1" applyNumberFormat="1" applyFont="1" applyFill="1" applyBorder="1" applyAlignment="1" applyProtection="1">
      <alignment horizontal="center" vertical="center" wrapText="1"/>
      <protection hidden="1"/>
    </xf>
    <xf numFmtId="2" fontId="20" fillId="12" borderId="40" xfId="0" applyNumberFormat="1" applyFont="1" applyFill="1" applyBorder="1" applyAlignment="1" applyProtection="1">
      <alignment horizontal="center" vertical="center" wrapText="1"/>
      <protection hidden="1"/>
    </xf>
    <xf numFmtId="164" fontId="20" fillId="12" borderId="9"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72" fontId="2" fillId="12" borderId="9" xfId="0" applyNumberFormat="1"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center" wrapText="1"/>
      <protection hidden="1"/>
    </xf>
    <xf numFmtId="0" fontId="33" fillId="7" borderId="48" xfId="0" applyFont="1" applyFill="1" applyBorder="1" applyAlignment="1" applyProtection="1">
      <alignment horizontal="center" vertical="center" wrapText="1"/>
      <protection hidden="1"/>
    </xf>
    <xf numFmtId="0" fontId="33" fillId="7" borderId="21" xfId="0" applyFont="1" applyFill="1" applyBorder="1" applyAlignment="1" applyProtection="1">
      <alignment horizontal="center" vertical="center" wrapText="1"/>
      <protection hidden="1"/>
    </xf>
    <xf numFmtId="0" fontId="33" fillId="7" borderId="39" xfId="0" applyFont="1" applyFill="1" applyBorder="1" applyAlignment="1" applyProtection="1">
      <alignment horizontal="center" vertical="center" wrapText="1"/>
      <protection hidden="1"/>
    </xf>
    <xf numFmtId="0" fontId="33" fillId="7" borderId="32" xfId="0"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wrapText="1"/>
      <protection hidden="1"/>
    </xf>
    <xf numFmtId="2" fontId="33" fillId="14" borderId="44" xfId="0" applyNumberFormat="1" applyFont="1" applyFill="1" applyBorder="1" applyAlignment="1" applyProtection="1">
      <alignment horizontal="center" vertical="center" wrapText="1"/>
      <protection hidden="1"/>
    </xf>
    <xf numFmtId="170" fontId="33" fillId="7" borderId="40" xfId="0" applyNumberFormat="1"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170" fontId="33" fillId="7" borderId="44" xfId="0" applyNumberFormat="1" applyFont="1" applyFill="1" applyBorder="1" applyAlignment="1" applyProtection="1">
      <alignment horizontal="center" vertical="center" wrapText="1"/>
      <protection hidden="1"/>
    </xf>
    <xf numFmtId="172" fontId="33" fillId="7" borderId="22" xfId="0" applyNumberFormat="1" applyFont="1" applyFill="1" applyBorder="1" applyAlignment="1" applyProtection="1">
      <alignment horizontal="center" vertical="center" wrapText="1"/>
      <protection hidden="1"/>
    </xf>
    <xf numFmtId="170" fontId="33" fillId="7" borderId="28" xfId="0" applyNumberFormat="1" applyFont="1" applyFill="1" applyBorder="1" applyAlignment="1" applyProtection="1">
      <alignment horizontal="center" vertical="center" wrapText="1"/>
      <protection hidden="1"/>
    </xf>
    <xf numFmtId="14" fontId="33" fillId="7" borderId="1" xfId="0" applyNumberFormat="1" applyFont="1" applyFill="1" applyBorder="1" applyAlignment="1" applyProtection="1">
      <alignment horizontal="center" vertical="center" wrapText="1"/>
      <protection hidden="1"/>
    </xf>
    <xf numFmtId="0" fontId="1" fillId="18" borderId="19" xfId="0" applyFont="1" applyFill="1" applyBorder="1" applyAlignment="1" applyProtection="1">
      <alignment horizontal="center" vertical="center" wrapText="1"/>
      <protection hidden="1"/>
    </xf>
    <xf numFmtId="0" fontId="33" fillId="0" borderId="32" xfId="0" applyFont="1" applyFill="1" applyBorder="1" applyAlignment="1" applyProtection="1">
      <alignment horizontal="center" vertical="center" wrapText="1"/>
      <protection hidden="1"/>
    </xf>
    <xf numFmtId="0" fontId="33" fillId="0" borderId="9" xfId="0" applyFont="1" applyFill="1" applyBorder="1" applyAlignment="1" applyProtection="1">
      <alignment horizontal="center" vertical="center" wrapText="1"/>
      <protection hidden="1"/>
    </xf>
    <xf numFmtId="0" fontId="33" fillId="0" borderId="34" xfId="0" applyFont="1" applyBorder="1" applyAlignment="1" applyProtection="1">
      <alignment horizontal="center" vertical="center" wrapText="1"/>
      <protection hidden="1"/>
    </xf>
    <xf numFmtId="166" fontId="33" fillId="7" borderId="34" xfId="0" applyNumberFormat="1" applyFont="1" applyFill="1" applyBorder="1" applyAlignment="1" applyProtection="1">
      <alignment horizontal="center" vertical="center" wrapText="1"/>
      <protection hidden="1"/>
    </xf>
    <xf numFmtId="2" fontId="33" fillId="7" borderId="37" xfId="0" applyNumberFormat="1" applyFont="1" applyFill="1" applyBorder="1" applyAlignment="1" applyProtection="1">
      <alignment horizontal="center" vertical="center" wrapText="1"/>
      <protection hidden="1"/>
    </xf>
    <xf numFmtId="0" fontId="33" fillId="7" borderId="37" xfId="0" applyFont="1" applyFill="1" applyBorder="1" applyAlignment="1" applyProtection="1">
      <alignment horizontal="center" vertical="center" wrapText="1"/>
      <protection hidden="1"/>
    </xf>
    <xf numFmtId="0" fontId="9" fillId="18" borderId="1" xfId="0"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7" borderId="32" xfId="0" applyFont="1" applyFill="1" applyBorder="1" applyAlignment="1" applyProtection="1">
      <alignment horizontal="center" vertical="center"/>
      <protection hidden="1"/>
    </xf>
    <xf numFmtId="0" fontId="1" fillId="13" borderId="39" xfId="0" applyFont="1" applyFill="1" applyBorder="1" applyAlignment="1">
      <alignment horizontal="center" vertical="center" wrapText="1"/>
    </xf>
    <xf numFmtId="0" fontId="1" fillId="13" borderId="43" xfId="0" applyFont="1" applyFill="1" applyBorder="1" applyAlignment="1">
      <alignment horizontal="center" vertical="center" wrapText="1"/>
    </xf>
    <xf numFmtId="167" fontId="2" fillId="33" borderId="48" xfId="0" applyNumberFormat="1" applyFont="1" applyFill="1" applyBorder="1" applyAlignment="1" applyProtection="1">
      <alignment horizontal="center" vertical="center" wrapText="1"/>
      <protection locked="0"/>
    </xf>
    <xf numFmtId="0" fontId="8" fillId="0" borderId="47" xfId="0" applyFont="1" applyFill="1" applyBorder="1" applyAlignment="1">
      <alignment horizontal="center" vertical="center"/>
    </xf>
    <xf numFmtId="0" fontId="8" fillId="0" borderId="5" xfId="0" applyFont="1" applyFill="1" applyBorder="1" applyAlignment="1">
      <alignment horizontal="center" vertical="center"/>
    </xf>
    <xf numFmtId="0" fontId="9" fillId="0" borderId="0" xfId="0" applyFont="1" applyFill="1" applyBorder="1" applyAlignment="1">
      <alignment horizontal="center" vertical="center"/>
    </xf>
    <xf numFmtId="0" fontId="2" fillId="0" borderId="0" xfId="0" applyFont="1" applyFill="1" applyAlignment="1">
      <alignment vertical="center"/>
    </xf>
    <xf numFmtId="165" fontId="9" fillId="0" borderId="0" xfId="0" applyNumberFormat="1"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167" fontId="2" fillId="12" borderId="18" xfId="0" applyNumberFormat="1" applyFont="1" applyFill="1" applyBorder="1" applyAlignment="1">
      <alignment horizontal="center" vertical="center" wrapText="1"/>
    </xf>
    <xf numFmtId="167" fontId="2" fillId="12" borderId="36" xfId="0" applyNumberFormat="1" applyFont="1" applyFill="1" applyBorder="1" applyAlignment="1">
      <alignment horizontal="center" vertical="center" wrapText="1"/>
    </xf>
    <xf numFmtId="167" fontId="35" fillId="0" borderId="32" xfId="0" applyNumberFormat="1" applyFont="1" applyFill="1" applyBorder="1" applyAlignment="1" applyProtection="1">
      <alignment horizontal="center" vertical="center"/>
      <protection hidden="1"/>
    </xf>
    <xf numFmtId="0" fontId="35" fillId="0" borderId="9" xfId="0" applyFont="1" applyFill="1" applyBorder="1" applyAlignment="1" applyProtection="1">
      <alignment horizontal="center" vertical="center"/>
      <protection hidden="1"/>
    </xf>
    <xf numFmtId="0" fontId="35" fillId="0" borderId="34" xfId="0" applyFont="1" applyFill="1" applyBorder="1" applyAlignment="1" applyProtection="1">
      <alignment horizontal="center" vertical="center"/>
      <protection hidden="1"/>
    </xf>
    <xf numFmtId="0" fontId="35" fillId="0" borderId="32" xfId="0" applyFont="1" applyFill="1" applyBorder="1" applyAlignment="1" applyProtection="1">
      <alignment horizontal="center" vertical="center"/>
      <protection hidden="1"/>
    </xf>
    <xf numFmtId="0" fontId="33" fillId="0" borderId="9" xfId="0" applyFont="1" applyFill="1" applyBorder="1" applyAlignment="1" applyProtection="1">
      <protection hidden="1"/>
    </xf>
    <xf numFmtId="0" fontId="33" fillId="0" borderId="34" xfId="0" applyFont="1" applyFill="1" applyBorder="1" applyAlignment="1" applyProtection="1">
      <alignment vertical="center"/>
      <protection hidden="1"/>
    </xf>
    <xf numFmtId="0" fontId="33" fillId="0" borderId="49" xfId="0" applyFont="1" applyFill="1" applyBorder="1" applyAlignment="1" applyProtection="1">
      <alignment horizontal="center" vertical="center"/>
      <protection hidden="1"/>
    </xf>
    <xf numFmtId="167" fontId="35" fillId="0" borderId="9" xfId="0" applyNumberFormat="1" applyFont="1" applyFill="1" applyBorder="1" applyAlignment="1" applyProtection="1">
      <alignment horizontal="center" vertical="center"/>
      <protection hidden="1"/>
    </xf>
    <xf numFmtId="0" fontId="35" fillId="0" borderId="8"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2" fontId="33" fillId="0" borderId="44" xfId="0" applyNumberFormat="1" applyFont="1" applyFill="1" applyBorder="1" applyAlignment="1" applyProtection="1">
      <alignment vertical="center"/>
      <protection hidden="1"/>
    </xf>
    <xf numFmtId="0" fontId="33" fillId="0" borderId="44" xfId="0" applyFont="1" applyFill="1" applyBorder="1" applyAlignment="1" applyProtection="1">
      <alignment vertical="center"/>
      <protection hidden="1"/>
    </xf>
    <xf numFmtId="0" fontId="33" fillId="0" borderId="37" xfId="0" applyFont="1" applyFill="1" applyBorder="1" applyAlignment="1" applyProtection="1">
      <alignment vertical="center"/>
      <protection hidden="1"/>
    </xf>
    <xf numFmtId="0" fontId="33" fillId="0" borderId="38" xfId="0" applyFont="1" applyFill="1" applyBorder="1" applyAlignment="1" applyProtection="1">
      <alignment horizontal="center" vertical="center"/>
      <protection hidden="1"/>
    </xf>
    <xf numFmtId="1" fontId="9" fillId="0" borderId="0" xfId="0" applyNumberFormat="1" applyFont="1" applyAlignment="1" applyProtection="1">
      <protection hidden="1"/>
    </xf>
    <xf numFmtId="0" fontId="9" fillId="0" borderId="0" xfId="0" applyFont="1" applyAlignment="1" applyProtection="1">
      <protection hidden="1"/>
    </xf>
    <xf numFmtId="0" fontId="33" fillId="0" borderId="0" xfId="0" applyFont="1" applyAlignment="1" applyProtection="1">
      <alignment horizontal="justify" vertical="center" wrapText="1"/>
      <protection hidden="1"/>
    </xf>
    <xf numFmtId="0" fontId="9" fillId="0" borderId="0" xfId="0" applyFont="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9" fillId="0" borderId="0" xfId="0" applyFont="1" applyAlignment="1" applyProtection="1">
      <alignment horizontal="justify" vertical="center" wrapText="1"/>
      <protection hidden="1"/>
    </xf>
    <xf numFmtId="1" fontId="9" fillId="0" borderId="0" xfId="0" applyNumberFormat="1" applyFont="1" applyAlignment="1" applyProtection="1">
      <alignment horizontal="justify" vertical="center" wrapText="1"/>
      <protection hidden="1"/>
    </xf>
    <xf numFmtId="167" fontId="9" fillId="2" borderId="0" xfId="0" applyNumberFormat="1" applyFont="1" applyFill="1" applyAlignment="1" applyProtection="1">
      <alignment horizontal="center"/>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center"/>
      <protection hidden="1"/>
    </xf>
    <xf numFmtId="165" fontId="68" fillId="0" borderId="1" xfId="0" applyNumberFormat="1" applyFont="1" applyFill="1" applyBorder="1" applyAlignment="1" applyProtection="1">
      <alignment horizontal="centerContinuous" vertical="center" wrapText="1"/>
      <protection hidden="1"/>
    </xf>
    <xf numFmtId="2" fontId="68" fillId="0" borderId="1" xfId="0" applyNumberFormat="1" applyFont="1" applyFill="1" applyBorder="1" applyAlignment="1" applyProtection="1">
      <alignment horizontal="centerContinuous" vertical="center" wrapText="1"/>
      <protection hidden="1"/>
    </xf>
    <xf numFmtId="14" fontId="68" fillId="0" borderId="40"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181"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80"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vertical="center" wrapText="1"/>
      <protection hidden="1"/>
    </xf>
    <xf numFmtId="0" fontId="35" fillId="0" borderId="0" xfId="0" applyFont="1" applyProtection="1">
      <protection hidden="1"/>
    </xf>
    <xf numFmtId="0" fontId="69" fillId="2" borderId="0" xfId="0" applyFont="1" applyFill="1" applyBorder="1" applyProtection="1">
      <protection hidden="1"/>
    </xf>
    <xf numFmtId="0" fontId="68" fillId="0" borderId="71" xfId="0" applyFont="1" applyFill="1" applyBorder="1" applyAlignment="1" applyProtection="1">
      <alignment horizontal="center" vertical="center" wrapText="1"/>
      <protection hidden="1"/>
    </xf>
    <xf numFmtId="0" fontId="68" fillId="0" borderId="71" xfId="0" applyFont="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68" fillId="2" borderId="1" xfId="0" applyFont="1" applyFill="1" applyBorder="1" applyAlignment="1" applyProtection="1">
      <alignment horizontal="center" vertical="center" wrapText="1"/>
      <protection hidden="1"/>
    </xf>
    <xf numFmtId="0" fontId="68" fillId="0" borderId="6" xfId="0" applyFont="1" applyFill="1" applyBorder="1" applyAlignment="1" applyProtection="1">
      <alignment horizontal="center" vertical="center" wrapText="1"/>
      <protection hidden="1"/>
    </xf>
    <xf numFmtId="0" fontId="35" fillId="0"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69" fillId="2" borderId="0" xfId="0" applyFont="1" applyFill="1" applyProtection="1">
      <protection hidden="1"/>
    </xf>
    <xf numFmtId="0" fontId="35" fillId="2" borderId="80" xfId="0" applyFont="1" applyFill="1" applyBorder="1" applyAlignment="1" applyProtection="1">
      <alignment horizontal="center" vertical="center"/>
      <protection hidden="1"/>
    </xf>
    <xf numFmtId="167" fontId="35" fillId="2" borderId="80" xfId="0" applyNumberFormat="1" applyFont="1" applyFill="1" applyBorder="1" applyAlignment="1" applyProtection="1">
      <alignment horizontal="center" vertical="center"/>
      <protection hidden="1"/>
    </xf>
    <xf numFmtId="167" fontId="69" fillId="2" borderId="0" xfId="0" applyNumberFormat="1" applyFont="1" applyFill="1" applyProtection="1">
      <protection hidden="1"/>
    </xf>
    <xf numFmtId="0" fontId="8" fillId="0" borderId="1" xfId="0" applyFont="1" applyBorder="1" applyAlignment="1" applyProtection="1">
      <alignment horizontal="center" vertical="center" wrapText="1"/>
      <protection locked="0" hidden="1"/>
    </xf>
    <xf numFmtId="0" fontId="9" fillId="5" borderId="22" xfId="0"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protection hidden="1"/>
    </xf>
    <xf numFmtId="0" fontId="33" fillId="5" borderId="78" xfId="0" applyFont="1" applyFill="1" applyBorder="1" applyAlignment="1" applyProtection="1">
      <alignment horizontal="center" vertical="center"/>
      <protection hidden="1"/>
    </xf>
    <xf numFmtId="0" fontId="33" fillId="32" borderId="39" xfId="0" applyFont="1" applyFill="1" applyBorder="1" applyAlignment="1" applyProtection="1">
      <alignment horizontal="center" vertical="center"/>
      <protection hidden="1"/>
    </xf>
    <xf numFmtId="0" fontId="33" fillId="32" borderId="40" xfId="0" applyFont="1" applyFill="1" applyBorder="1" applyAlignment="1" applyProtection="1">
      <alignment horizontal="center" vertical="center"/>
      <protection hidden="1"/>
    </xf>
    <xf numFmtId="167" fontId="33" fillId="32" borderId="40" xfId="0" applyNumberFormat="1" applyFont="1" applyFill="1" applyBorder="1" applyAlignment="1" applyProtection="1">
      <alignment horizontal="center" vertical="center"/>
      <protection hidden="1"/>
    </xf>
    <xf numFmtId="0" fontId="33" fillId="32" borderId="73" xfId="0" applyFont="1" applyFill="1" applyBorder="1" applyAlignment="1" applyProtection="1">
      <alignment horizontal="center" vertical="center"/>
      <protection hidden="1"/>
    </xf>
    <xf numFmtId="0" fontId="33" fillId="32" borderId="32" xfId="0" applyFont="1" applyFill="1" applyBorder="1" applyAlignment="1" applyProtection="1">
      <alignment horizontal="center" vertical="center"/>
      <protection hidden="1"/>
    </xf>
    <xf numFmtId="0" fontId="33" fillId="32" borderId="18" xfId="0" applyFont="1" applyFill="1" applyBorder="1" applyAlignment="1" applyProtection="1">
      <alignment horizontal="center" vertical="center"/>
      <protection hidden="1"/>
    </xf>
    <xf numFmtId="167" fontId="33" fillId="32" borderId="18" xfId="0" applyNumberFormat="1" applyFont="1" applyFill="1" applyBorder="1" applyAlignment="1" applyProtection="1">
      <alignment horizontal="center" vertical="center"/>
      <protection hidden="1"/>
    </xf>
    <xf numFmtId="0" fontId="33" fillId="32" borderId="34" xfId="0" applyFont="1" applyFill="1" applyBorder="1" applyAlignment="1" applyProtection="1">
      <alignment horizontal="center" vertical="center"/>
      <protection hidden="1"/>
    </xf>
    <xf numFmtId="167" fontId="33" fillId="32" borderId="43" xfId="0" applyNumberFormat="1" applyFont="1" applyFill="1" applyBorder="1" applyAlignment="1" applyProtection="1">
      <alignment horizontal="center" vertical="center"/>
      <protection hidden="1"/>
    </xf>
    <xf numFmtId="0" fontId="33" fillId="32" borderId="53" xfId="0" applyFont="1" applyFill="1" applyBorder="1" applyAlignment="1" applyProtection="1">
      <alignment horizontal="center" vertical="center"/>
      <protection hidden="1"/>
    </xf>
    <xf numFmtId="167" fontId="33" fillId="32" borderId="53" xfId="0" applyNumberFormat="1" applyFont="1" applyFill="1" applyBorder="1" applyAlignment="1" applyProtection="1">
      <alignment horizontal="center" vertical="center"/>
      <protection hidden="1"/>
    </xf>
    <xf numFmtId="0" fontId="33" fillId="32" borderId="37" xfId="0"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protection hidden="1"/>
    </xf>
    <xf numFmtId="167" fontId="33" fillId="32" borderId="9" xfId="0" applyNumberFormat="1" applyFont="1" applyFill="1" applyBorder="1" applyAlignment="1" applyProtection="1">
      <alignment horizontal="center" vertical="center"/>
      <protection hidden="1"/>
    </xf>
    <xf numFmtId="0" fontId="33" fillId="32" borderId="43" xfId="0" applyFont="1" applyFill="1" applyBorder="1" applyAlignment="1" applyProtection="1">
      <alignment horizontal="center" vertical="center"/>
      <protection hidden="1"/>
    </xf>
    <xf numFmtId="0" fontId="33" fillId="32" borderId="44" xfId="0" applyFont="1" applyFill="1" applyBorder="1" applyAlignment="1" applyProtection="1">
      <alignment horizontal="center" vertical="center"/>
      <protection hidden="1"/>
    </xf>
    <xf numFmtId="166" fontId="33" fillId="32" borderId="40" xfId="0" applyNumberFormat="1" applyFont="1" applyFill="1" applyBorder="1" applyAlignment="1" applyProtection="1">
      <alignment horizontal="center" vertical="center"/>
      <protection hidden="1"/>
    </xf>
    <xf numFmtId="0" fontId="33" fillId="32" borderId="9" xfId="0" applyFont="1" applyFill="1" applyBorder="1" applyAlignment="1" applyProtection="1">
      <alignment horizontal="center" vertical="center"/>
      <protection hidden="1"/>
    </xf>
    <xf numFmtId="166" fontId="33" fillId="32" borderId="9" xfId="0" applyNumberFormat="1" applyFont="1" applyFill="1" applyBorder="1" applyAlignment="1" applyProtection="1">
      <alignment horizontal="center" vertical="center"/>
      <protection hidden="1"/>
    </xf>
    <xf numFmtId="2" fontId="33" fillId="32" borderId="44" xfId="0" applyNumberFormat="1" applyFont="1" applyFill="1" applyBorder="1" applyAlignment="1" applyProtection="1">
      <alignment horizontal="center" vertical="center"/>
      <protection hidden="1"/>
    </xf>
    <xf numFmtId="167" fontId="33" fillId="32" borderId="39" xfId="0" applyNumberFormat="1" applyFont="1" applyFill="1" applyBorder="1" applyAlignment="1" applyProtection="1">
      <alignment horizontal="center" vertical="center"/>
      <protection hidden="1"/>
    </xf>
    <xf numFmtId="0" fontId="33" fillId="32" borderId="31" xfId="0" applyFont="1" applyFill="1" applyBorder="1" applyAlignment="1" applyProtection="1">
      <alignment horizontal="center" vertical="center"/>
      <protection hidden="1"/>
    </xf>
    <xf numFmtId="0" fontId="33" fillId="32" borderId="11" xfId="0" applyFont="1" applyFill="1" applyBorder="1" applyAlignment="1" applyProtection="1">
      <alignment horizontal="center" vertical="center"/>
      <protection hidden="1"/>
    </xf>
    <xf numFmtId="0" fontId="33" fillId="32" borderId="55" xfId="0" applyFont="1" applyFill="1" applyBorder="1" applyAlignment="1" applyProtection="1">
      <alignment horizontal="center" vertical="center"/>
      <protection hidden="1"/>
    </xf>
    <xf numFmtId="176" fontId="33" fillId="32" borderId="40" xfId="0" applyNumberFormat="1" applyFont="1" applyFill="1" applyBorder="1" applyAlignment="1" applyProtection="1">
      <alignment horizontal="center" vertical="center" wrapText="1"/>
      <protection hidden="1"/>
    </xf>
    <xf numFmtId="176" fontId="33" fillId="32" borderId="31" xfId="0" applyNumberFormat="1" applyFont="1" applyFill="1" applyBorder="1" applyAlignment="1" applyProtection="1">
      <alignment horizontal="center" vertical="center" wrapText="1"/>
      <protection hidden="1"/>
    </xf>
    <xf numFmtId="176" fontId="33" fillId="32" borderId="9" xfId="0" applyNumberFormat="1" applyFont="1" applyFill="1" applyBorder="1" applyAlignment="1" applyProtection="1">
      <alignment horizontal="center" vertical="center" wrapText="1"/>
      <protection hidden="1"/>
    </xf>
    <xf numFmtId="176" fontId="33" fillId="32" borderId="11" xfId="0" applyNumberFormat="1" applyFont="1" applyFill="1" applyBorder="1" applyAlignment="1" applyProtection="1">
      <alignment horizontal="center" vertical="center" wrapText="1"/>
      <protection hidden="1"/>
    </xf>
    <xf numFmtId="176" fontId="33" fillId="32" borderId="44" xfId="0" applyNumberFormat="1" applyFont="1" applyFill="1" applyBorder="1" applyAlignment="1" applyProtection="1">
      <alignment horizontal="center" vertical="center" wrapText="1"/>
      <protection hidden="1"/>
    </xf>
    <xf numFmtId="176" fontId="33" fillId="32" borderId="55" xfId="0" applyNumberFormat="1" applyFont="1" applyFill="1" applyBorder="1" applyAlignment="1" applyProtection="1">
      <alignment horizontal="center" vertical="center" wrapText="1"/>
      <protection hidden="1"/>
    </xf>
    <xf numFmtId="4" fontId="33" fillId="32" borderId="40" xfId="0" applyNumberFormat="1" applyFont="1" applyFill="1" applyBorder="1" applyAlignment="1" applyProtection="1">
      <alignment horizontal="center" vertical="center" wrapText="1"/>
      <protection hidden="1"/>
    </xf>
    <xf numFmtId="177" fontId="33" fillId="32" borderId="31" xfId="0" applyNumberFormat="1" applyFont="1" applyFill="1" applyBorder="1" applyAlignment="1" applyProtection="1">
      <alignment horizontal="center" vertical="center" wrapText="1"/>
      <protection hidden="1"/>
    </xf>
    <xf numFmtId="4" fontId="33" fillId="32" borderId="9" xfId="0" applyNumberFormat="1" applyFont="1" applyFill="1" applyBorder="1" applyAlignment="1" applyProtection="1">
      <alignment horizontal="center" vertical="center" wrapText="1"/>
      <protection hidden="1"/>
    </xf>
    <xf numFmtId="0" fontId="61" fillId="32" borderId="11" xfId="0" applyFont="1" applyFill="1" applyBorder="1" applyAlignment="1" applyProtection="1">
      <alignment horizontal="center" vertical="center" wrapText="1"/>
      <protection hidden="1"/>
    </xf>
    <xf numFmtId="4" fontId="33" fillId="32" borderId="44" xfId="0" applyNumberFormat="1" applyFont="1" applyFill="1" applyBorder="1" applyAlignment="1" applyProtection="1">
      <alignment horizontal="center" vertical="center" wrapText="1"/>
      <protection hidden="1"/>
    </xf>
    <xf numFmtId="0" fontId="61" fillId="32" borderId="55"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protection hidden="1"/>
    </xf>
    <xf numFmtId="167" fontId="33" fillId="32" borderId="34" xfId="0" applyNumberFormat="1" applyFont="1" applyFill="1" applyBorder="1" applyAlignment="1" applyProtection="1">
      <alignment horizontal="center" vertical="center"/>
      <protection hidden="1"/>
    </xf>
    <xf numFmtId="2" fontId="33" fillId="32" borderId="40" xfId="0" applyNumberFormat="1"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protection hidden="1"/>
    </xf>
    <xf numFmtId="0" fontId="61" fillId="32" borderId="34" xfId="0"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2" fontId="33" fillId="32" borderId="41" xfId="0" applyNumberFormat="1" applyFont="1" applyFill="1" applyBorder="1" applyAlignment="1" applyProtection="1">
      <alignment horizontal="center" vertical="center"/>
      <protection hidden="1"/>
    </xf>
    <xf numFmtId="0" fontId="33" fillId="32" borderId="44" xfId="0" applyFont="1" applyFill="1" applyBorder="1" applyAlignment="1" applyProtection="1">
      <alignment vertical="center"/>
      <protection hidden="1"/>
    </xf>
    <xf numFmtId="164" fontId="33" fillId="32" borderId="44" xfId="0" applyNumberFormat="1" applyFont="1" applyFill="1" applyBorder="1" applyAlignment="1" applyProtection="1">
      <alignment vertical="center"/>
      <protection hidden="1"/>
    </xf>
    <xf numFmtId="166" fontId="33" fillId="32" borderId="37" xfId="0" applyNumberFormat="1" applyFont="1" applyFill="1" applyBorder="1" applyAlignment="1" applyProtection="1">
      <alignment horizontal="center" vertical="center"/>
      <protection hidden="1"/>
    </xf>
    <xf numFmtId="165" fontId="33" fillId="32" borderId="41" xfId="0" applyNumberFormat="1" applyFont="1" applyFill="1" applyBorder="1" applyAlignment="1" applyProtection="1">
      <alignment horizontal="center" vertical="center"/>
      <protection hidden="1"/>
    </xf>
    <xf numFmtId="165" fontId="33" fillId="32" borderId="34" xfId="0" applyNumberFormat="1" applyFont="1" applyFill="1" applyBorder="1" applyAlignment="1" applyProtection="1">
      <alignment horizontal="center" vertical="center"/>
      <protection hidden="1"/>
    </xf>
    <xf numFmtId="165" fontId="33" fillId="32" borderId="37" xfId="0" applyNumberFormat="1" applyFont="1" applyFill="1" applyBorder="1" applyAlignment="1" applyProtection="1">
      <alignment horizontal="center" vertical="center"/>
      <protection hidden="1"/>
    </xf>
    <xf numFmtId="3" fontId="33" fillId="32" borderId="30" xfId="0" applyNumberFormat="1" applyFont="1" applyFill="1" applyBorder="1" applyAlignment="1" applyProtection="1">
      <alignment horizontal="center" vertical="center" wrapText="1"/>
      <protection hidden="1"/>
    </xf>
    <xf numFmtId="0" fontId="33" fillId="32" borderId="18" xfId="0" applyFont="1" applyFill="1" applyBorder="1" applyAlignment="1" applyProtection="1">
      <alignment horizontal="center" vertical="center" wrapText="1"/>
      <protection hidden="1"/>
    </xf>
    <xf numFmtId="0" fontId="61" fillId="32" borderId="18" xfId="0" applyFont="1" applyFill="1" applyBorder="1" applyAlignment="1" applyProtection="1">
      <alignment horizontal="center" vertical="center" wrapText="1"/>
      <protection hidden="1"/>
    </xf>
    <xf numFmtId="0" fontId="33" fillId="32" borderId="9" xfId="0"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0" fontId="61" fillId="32" borderId="44" xfId="0" applyFont="1" applyFill="1" applyBorder="1" applyAlignment="1" applyProtection="1">
      <alignment vertical="center" wrapText="1"/>
      <protection hidden="1"/>
    </xf>
    <xf numFmtId="3" fontId="33" fillId="32" borderId="39" xfId="0" applyNumberFormat="1" applyFont="1" applyFill="1" applyBorder="1" applyAlignment="1" applyProtection="1">
      <alignment horizontal="center" vertical="center" wrapText="1"/>
      <protection hidden="1"/>
    </xf>
    <xf numFmtId="0" fontId="33" fillId="32" borderId="40" xfId="0" applyFont="1" applyFill="1" applyBorder="1" applyAlignment="1" applyProtection="1">
      <alignment horizontal="center" vertical="center" wrapText="1"/>
      <protection hidden="1"/>
    </xf>
    <xf numFmtId="0" fontId="61" fillId="32" borderId="40" xfId="0" applyFont="1" applyFill="1" applyBorder="1" applyAlignment="1" applyProtection="1">
      <alignment horizontal="center" vertical="center" wrapText="1"/>
      <protection hidden="1"/>
    </xf>
    <xf numFmtId="176" fontId="61" fillId="32" borderId="9" xfId="0" applyNumberFormat="1" applyFont="1" applyFill="1" applyBorder="1" applyAlignment="1" applyProtection="1">
      <alignment horizontal="center" vertical="center" wrapText="1"/>
      <protection hidden="1"/>
    </xf>
    <xf numFmtId="4" fontId="61" fillId="32" borderId="9" xfId="0" applyNumberFormat="1" applyFont="1" applyFill="1" applyBorder="1" applyAlignment="1" applyProtection="1">
      <alignment horizontal="center" vertical="center" wrapText="1"/>
      <protection hidden="1"/>
    </xf>
    <xf numFmtId="0" fontId="33" fillId="32" borderId="10" xfId="0" applyFont="1" applyFill="1" applyBorder="1" applyAlignment="1" applyProtection="1">
      <alignment horizontal="center"/>
      <protection hidden="1"/>
    </xf>
    <xf numFmtId="0" fontId="33" fillId="32" borderId="0" xfId="0" applyFont="1" applyFill="1" applyBorder="1" applyProtection="1">
      <protection hidden="1"/>
    </xf>
    <xf numFmtId="0" fontId="33" fillId="32" borderId="0" xfId="0" applyFont="1" applyFill="1" applyBorder="1" applyAlignment="1" applyProtection="1">
      <alignment horizontal="center"/>
      <protection hidden="1"/>
    </xf>
    <xf numFmtId="0" fontId="33" fillId="32" borderId="49" xfId="0" applyFont="1" applyFill="1" applyBorder="1" applyAlignment="1" applyProtection="1">
      <alignment horizontal="center"/>
      <protection hidden="1"/>
    </xf>
    <xf numFmtId="167" fontId="33" fillId="32" borderId="9" xfId="0" applyNumberFormat="1"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167" fontId="33" fillId="32" borderId="31" xfId="0" applyNumberFormat="1" applyFont="1" applyFill="1" applyBorder="1" applyAlignment="1" applyProtection="1">
      <alignment horizontal="center" vertical="center" wrapText="1"/>
      <protection hidden="1"/>
    </xf>
    <xf numFmtId="167" fontId="33" fillId="32" borderId="11" xfId="0" applyNumberFormat="1" applyFont="1" applyFill="1" applyBorder="1" applyAlignment="1" applyProtection="1">
      <alignment horizontal="center" vertical="center" wrapText="1"/>
      <protection hidden="1"/>
    </xf>
    <xf numFmtId="167" fontId="33" fillId="32" borderId="44" xfId="0" applyNumberFormat="1" applyFont="1" applyFill="1" applyBorder="1" applyAlignment="1" applyProtection="1">
      <alignment horizontal="center" vertical="center"/>
      <protection hidden="1"/>
    </xf>
    <xf numFmtId="167" fontId="61" fillId="32" borderId="55" xfId="0" applyNumberFormat="1" applyFont="1" applyFill="1" applyBorder="1" applyAlignment="1" applyProtection="1">
      <alignment horizontal="center" vertical="center" wrapText="1"/>
      <protection hidden="1"/>
    </xf>
    <xf numFmtId="0" fontId="33" fillId="32" borderId="31"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wrapText="1"/>
      <protection hidden="1"/>
    </xf>
    <xf numFmtId="167" fontId="33" fillId="32" borderId="34" xfId="0" applyNumberFormat="1" applyFont="1" applyFill="1" applyBorder="1" applyAlignment="1" applyProtection="1">
      <alignment horizontal="center" vertical="center" wrapText="1"/>
      <protection hidden="1"/>
    </xf>
    <xf numFmtId="167" fontId="33" fillId="32" borderId="37" xfId="0" applyNumberFormat="1" applyFont="1" applyFill="1" applyBorder="1" applyAlignment="1" applyProtection="1">
      <alignment horizontal="center" vertical="center" wrapText="1"/>
      <protection hidden="1"/>
    </xf>
    <xf numFmtId="0" fontId="33" fillId="32" borderId="34"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67" fontId="33" fillId="32" borderId="30" xfId="0" applyNumberFormat="1" applyFont="1" applyFill="1" applyBorder="1" applyAlignment="1" applyProtection="1">
      <alignment horizontal="center" vertical="center"/>
      <protection hidden="1"/>
    </xf>
    <xf numFmtId="0" fontId="33" fillId="32" borderId="27"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protection hidden="1"/>
    </xf>
    <xf numFmtId="0" fontId="9" fillId="5" borderId="73" xfId="0" applyFont="1" applyFill="1" applyBorder="1" applyAlignment="1" applyProtection="1">
      <alignment horizontal="center" vertical="center" wrapText="1"/>
      <protection hidden="1"/>
    </xf>
    <xf numFmtId="166" fontId="33" fillId="32" borderId="40" xfId="0" applyNumberFormat="1" applyFont="1" applyFill="1" applyBorder="1" applyAlignment="1" applyProtection="1">
      <alignment horizontal="center" vertical="center" wrapText="1"/>
      <protection hidden="1"/>
    </xf>
    <xf numFmtId="164" fontId="33" fillId="32" borderId="40" xfId="0" applyNumberFormat="1" applyFont="1" applyFill="1" applyBorder="1" applyAlignment="1" applyProtection="1">
      <alignment horizontal="center" vertical="center" wrapText="1"/>
      <protection hidden="1"/>
    </xf>
    <xf numFmtId="164" fontId="33" fillId="32" borderId="41" xfId="0" applyNumberFormat="1"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wrapText="1"/>
      <protection hidden="1"/>
    </xf>
    <xf numFmtId="164" fontId="33" fillId="32" borderId="9" xfId="0" applyNumberFormat="1" applyFont="1" applyFill="1" applyBorder="1" applyAlignment="1" applyProtection="1">
      <alignment horizontal="center" vertical="center" wrapText="1"/>
      <protection hidden="1"/>
    </xf>
    <xf numFmtId="164" fontId="33" fillId="32" borderId="34" xfId="0" applyNumberFormat="1" applyFont="1" applyFill="1" applyBorder="1" applyAlignment="1" applyProtection="1">
      <alignment horizontal="center" vertical="center" wrapText="1"/>
      <protection hidden="1"/>
    </xf>
    <xf numFmtId="166" fontId="33" fillId="32" borderId="9" xfId="0" applyNumberFormat="1" applyFont="1" applyFill="1" applyBorder="1" applyAlignment="1" applyProtection="1">
      <alignment horizontal="center" vertical="center" wrapText="1"/>
      <protection hidden="1"/>
    </xf>
    <xf numFmtId="2" fontId="33" fillId="32" borderId="44" xfId="0" applyNumberFormat="1" applyFont="1" applyFill="1" applyBorder="1" applyAlignment="1" applyProtection="1">
      <alignment horizontal="center" vertical="center" wrapText="1"/>
      <protection hidden="1"/>
    </xf>
    <xf numFmtId="164" fontId="33" fillId="32" borderId="44" xfId="0" applyNumberFormat="1" applyFont="1" applyFill="1" applyBorder="1" applyAlignment="1" applyProtection="1">
      <alignment horizontal="center" vertical="center" wrapText="1"/>
      <protection hidden="1"/>
    </xf>
    <xf numFmtId="0" fontId="33" fillId="32" borderId="44" xfId="0" applyFont="1" applyFill="1" applyBorder="1" applyAlignment="1" applyProtection="1">
      <alignment horizontal="center" vertical="center" wrapText="1"/>
      <protection hidden="1"/>
    </xf>
    <xf numFmtId="164" fontId="33" fillId="32" borderId="37" xfId="0" applyNumberFormat="1"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protection hidden="1"/>
    </xf>
    <xf numFmtId="3" fontId="33" fillId="7" borderId="39" xfId="0" applyNumberFormat="1" applyFont="1" applyFill="1" applyBorder="1" applyAlignment="1" applyProtection="1">
      <alignment horizontal="center" vertical="center" wrapText="1"/>
      <protection hidden="1"/>
    </xf>
    <xf numFmtId="3" fontId="33" fillId="7" borderId="40" xfId="0" applyNumberFormat="1" applyFont="1" applyFill="1" applyBorder="1" applyAlignment="1" applyProtection="1">
      <alignment horizontal="center" vertical="center" wrapText="1"/>
      <protection hidden="1"/>
    </xf>
    <xf numFmtId="172" fontId="33" fillId="7" borderId="40" xfId="0" applyNumberFormat="1" applyFont="1" applyFill="1" applyBorder="1" applyAlignment="1" applyProtection="1">
      <alignment horizontal="center" vertical="center" wrapText="1"/>
      <protection hidden="1"/>
    </xf>
    <xf numFmtId="165" fontId="33" fillId="7" borderId="41" xfId="0" applyNumberFormat="1" applyFont="1" applyFill="1" applyBorder="1" applyAlignment="1" applyProtection="1">
      <alignment horizontal="center" vertical="center" wrapText="1"/>
      <protection hidden="1"/>
    </xf>
    <xf numFmtId="3" fontId="33" fillId="7" borderId="32" xfId="0" applyNumberFormat="1" applyFont="1" applyFill="1" applyBorder="1" applyAlignment="1" applyProtection="1">
      <alignment horizontal="center" vertical="center" wrapText="1"/>
      <protection hidden="1"/>
    </xf>
    <xf numFmtId="3" fontId="33" fillId="7" borderId="18" xfId="0" applyNumberFormat="1" applyFont="1" applyFill="1" applyBorder="1" applyAlignment="1" applyProtection="1">
      <alignment horizontal="center" vertical="center" wrapText="1"/>
      <protection hidden="1"/>
    </xf>
    <xf numFmtId="165" fontId="33" fillId="7" borderId="18" xfId="0" applyNumberFormat="1" applyFont="1" applyFill="1" applyBorder="1" applyAlignment="1" applyProtection="1">
      <alignment horizontal="center" vertical="center" wrapText="1"/>
      <protection hidden="1"/>
    </xf>
    <xf numFmtId="165" fontId="33" fillId="7" borderId="36" xfId="0" applyNumberFormat="1" applyFont="1" applyFill="1" applyBorder="1" applyAlignment="1" applyProtection="1">
      <alignment horizontal="center" vertical="center" wrapText="1"/>
      <protection hidden="1"/>
    </xf>
    <xf numFmtId="3" fontId="33" fillId="7" borderId="43" xfId="0" applyNumberFormat="1" applyFont="1" applyFill="1" applyBorder="1" applyAlignment="1" applyProtection="1">
      <alignment horizontal="center" vertical="center" wrapText="1"/>
      <protection hidden="1"/>
    </xf>
    <xf numFmtId="3" fontId="33" fillId="7" borderId="44" xfId="0" applyNumberFormat="1" applyFont="1" applyFill="1" applyBorder="1" applyAlignment="1" applyProtection="1">
      <alignment horizontal="center" vertical="center" wrapText="1"/>
      <protection hidden="1"/>
    </xf>
    <xf numFmtId="165" fontId="33" fillId="7" borderId="53" xfId="0" applyNumberFormat="1" applyFont="1" applyFill="1" applyBorder="1" applyAlignment="1" applyProtection="1">
      <alignment horizontal="center" vertical="center" wrapText="1"/>
      <protection hidden="1"/>
    </xf>
    <xf numFmtId="165" fontId="33" fillId="7" borderId="78" xfId="0" applyNumberFormat="1" applyFont="1" applyFill="1" applyBorder="1" applyAlignment="1" applyProtection="1">
      <alignment horizontal="center" vertical="center" wrapText="1"/>
      <protection hidden="1"/>
    </xf>
    <xf numFmtId="167" fontId="2" fillId="33" borderId="54" xfId="0" applyNumberFormat="1" applyFont="1" applyFill="1" applyBorder="1" applyAlignment="1" applyProtection="1">
      <alignment horizontal="center" vertical="center" wrapText="1"/>
      <protection locked="0"/>
    </xf>
    <xf numFmtId="167" fontId="2" fillId="12" borderId="53" xfId="0" applyNumberFormat="1" applyFont="1" applyFill="1" applyBorder="1" applyAlignment="1">
      <alignment horizontal="center" vertical="center" wrapText="1"/>
    </xf>
    <xf numFmtId="167" fontId="2" fillId="12" borderId="78" xfId="0" applyNumberFormat="1" applyFont="1" applyFill="1" applyBorder="1" applyAlignment="1">
      <alignment horizontal="center" vertical="center" wrapText="1"/>
    </xf>
    <xf numFmtId="0" fontId="1" fillId="13" borderId="30" xfId="0" applyFont="1" applyFill="1" applyBorder="1" applyAlignment="1">
      <alignment horizontal="center" vertical="center" wrapText="1"/>
    </xf>
    <xf numFmtId="167" fontId="2" fillId="33" borderId="21" xfId="0" applyNumberFormat="1" applyFont="1" applyFill="1" applyBorder="1" applyAlignment="1" applyProtection="1">
      <alignment horizontal="center" vertical="center" wrapText="1"/>
      <protection locked="0"/>
    </xf>
    <xf numFmtId="167" fontId="2" fillId="33" borderId="8" xfId="0" applyNumberFormat="1" applyFont="1" applyFill="1" applyBorder="1" applyAlignment="1" applyProtection="1">
      <alignment horizontal="center" vertical="center" wrapText="1"/>
      <protection locked="0"/>
    </xf>
    <xf numFmtId="2" fontId="9" fillId="14" borderId="9" xfId="0" applyNumberFormat="1" applyFont="1" applyFill="1" applyBorder="1" applyAlignment="1" applyProtection="1">
      <alignment horizontal="center" vertical="center" wrapText="1"/>
      <protection hidden="1"/>
    </xf>
    <xf numFmtId="2" fontId="9" fillId="14" borderId="44" xfId="0" applyNumberFormat="1" applyFont="1" applyFill="1" applyBorder="1" applyAlignment="1" applyProtection="1">
      <alignment horizontal="center" vertical="center" wrapText="1"/>
      <protection hidden="1"/>
    </xf>
    <xf numFmtId="0" fontId="52" fillId="24" borderId="0" xfId="6" applyFont="1" applyAlignment="1" applyProtection="1">
      <alignment horizontal="center" vertical="center"/>
      <protection hidden="1"/>
    </xf>
    <xf numFmtId="0" fontId="19" fillId="0" borderId="71" xfId="0" applyFont="1" applyFill="1" applyBorder="1" applyAlignment="1" applyProtection="1">
      <alignment horizontal="center" vertical="center" wrapText="1"/>
      <protection hidden="1"/>
    </xf>
    <xf numFmtId="0" fontId="19" fillId="0" borderId="1" xfId="0" applyFont="1" applyFill="1" applyBorder="1" applyAlignment="1" applyProtection="1">
      <alignment horizontal="center" vertical="center" wrapText="1"/>
      <protection hidden="1"/>
    </xf>
    <xf numFmtId="0" fontId="33" fillId="24" borderId="0" xfId="6" applyFont="1" applyProtection="1">
      <alignment horizontal="center"/>
      <protection hidden="1"/>
    </xf>
    <xf numFmtId="0" fontId="74" fillId="0" borderId="0" xfId="0" applyFont="1"/>
    <xf numFmtId="0" fontId="33" fillId="31" borderId="67" xfId="0" applyFont="1" applyFill="1" applyBorder="1" applyAlignment="1" applyProtection="1">
      <alignment horizontal="center" vertical="center" wrapText="1"/>
      <protection hidden="1"/>
    </xf>
    <xf numFmtId="0" fontId="61" fillId="31" borderId="15" xfId="0" applyFont="1" applyFill="1" applyBorder="1" applyAlignment="1" applyProtection="1">
      <alignment horizontal="center" vertical="center" wrapText="1"/>
      <protection hidden="1"/>
    </xf>
    <xf numFmtId="0" fontId="61" fillId="31" borderId="53" xfId="0" applyFont="1" applyFill="1" applyBorder="1" applyAlignment="1" applyProtection="1">
      <alignment horizontal="center" vertical="center" wrapText="1"/>
      <protection hidden="1"/>
    </xf>
    <xf numFmtId="0" fontId="9" fillId="27" borderId="41" xfId="0" applyFont="1" applyFill="1" applyBorder="1" applyAlignment="1" applyProtection="1">
      <alignment horizontal="center" vertical="center" wrapText="1"/>
      <protection hidden="1"/>
    </xf>
    <xf numFmtId="0" fontId="9" fillId="27" borderId="60" xfId="0" applyFont="1" applyFill="1" applyBorder="1" applyAlignment="1" applyProtection="1">
      <alignment horizontal="center" vertical="center" wrapText="1"/>
      <protection hidden="1"/>
    </xf>
    <xf numFmtId="170" fontId="33" fillId="32" borderId="18" xfId="0" applyNumberFormat="1" applyFont="1" applyFill="1" applyBorder="1" applyAlignment="1" applyProtection="1">
      <alignment horizontal="center" vertical="center" wrapText="1"/>
      <protection hidden="1"/>
    </xf>
    <xf numFmtId="170" fontId="33" fillId="32" borderId="9" xfId="0" applyNumberFormat="1" applyFont="1" applyFill="1" applyBorder="1" applyAlignment="1" applyProtection="1">
      <alignment horizontal="center" vertical="center" wrapText="1"/>
      <protection hidden="1"/>
    </xf>
    <xf numFmtId="170" fontId="33" fillId="32" borderId="44" xfId="0" applyNumberFormat="1" applyFont="1" applyFill="1" applyBorder="1" applyAlignment="1" applyProtection="1">
      <alignment horizontal="center" vertical="center" wrapText="1"/>
      <protection hidden="1"/>
    </xf>
    <xf numFmtId="0" fontId="8" fillId="17" borderId="6" xfId="0" applyFont="1" applyFill="1" applyBorder="1" applyAlignment="1" applyProtection="1">
      <alignment horizontal="center" vertical="center" wrapText="1"/>
      <protection hidden="1"/>
    </xf>
    <xf numFmtId="0" fontId="8" fillId="17" borderId="8" xfId="0"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vertical="center" wrapText="1"/>
      <protection hidden="1"/>
    </xf>
    <xf numFmtId="0" fontId="33" fillId="31" borderId="71" xfId="0" applyFont="1" applyFill="1" applyBorder="1" applyAlignment="1" applyProtection="1">
      <alignment horizontal="center" vertical="center" textRotation="90"/>
      <protection hidden="1"/>
    </xf>
    <xf numFmtId="0" fontId="33" fillId="31" borderId="70" xfId="0" applyFont="1" applyFill="1" applyBorder="1" applyAlignment="1" applyProtection="1">
      <alignment horizontal="center" vertical="center" textRotation="90"/>
      <protection hidden="1"/>
    </xf>
    <xf numFmtId="0" fontId="33" fillId="31" borderId="10" xfId="0" applyFont="1" applyFill="1" applyBorder="1" applyAlignment="1" applyProtection="1">
      <alignment horizontal="center" vertical="center" textRotation="90"/>
      <protection hidden="1"/>
    </xf>
    <xf numFmtId="0" fontId="33" fillId="31" borderId="47" xfId="0" applyFont="1" applyFill="1" applyBorder="1" applyAlignment="1" applyProtection="1">
      <alignment horizontal="center" vertical="center" textRotation="90"/>
      <protection hidden="1"/>
    </xf>
    <xf numFmtId="0" fontId="9" fillId="30" borderId="32" xfId="0" applyFont="1" applyFill="1" applyBorder="1" applyAlignment="1" applyProtection="1">
      <alignment horizontal="center" vertical="center"/>
      <protection hidden="1"/>
    </xf>
    <xf numFmtId="0" fontId="9" fillId="30" borderId="9" xfId="0" applyFont="1" applyFill="1" applyBorder="1" applyAlignment="1" applyProtection="1">
      <alignment horizontal="center" vertical="center"/>
      <protection hidden="1"/>
    </xf>
    <xf numFmtId="0" fontId="33" fillId="32" borderId="32" xfId="0" applyFont="1" applyFill="1" applyBorder="1" applyAlignment="1" applyProtection="1">
      <alignment horizontal="center" vertical="center" wrapText="1"/>
      <protection hidden="1"/>
    </xf>
    <xf numFmtId="0" fontId="61" fillId="32" borderId="32" xfId="0"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0" fontId="33" fillId="32" borderId="34" xfId="0" applyFont="1" applyFill="1" applyBorder="1" applyAlignment="1" applyProtection="1">
      <alignment horizontal="center" vertical="center" wrapText="1"/>
      <protection hidden="1"/>
    </xf>
    <xf numFmtId="0" fontId="61" fillId="32" borderId="34" xfId="0" applyFont="1" applyFill="1" applyBorder="1" applyAlignment="1" applyProtection="1">
      <alignment horizontal="center" vertical="center" wrapText="1"/>
      <protection hidden="1"/>
    </xf>
    <xf numFmtId="0" fontId="60" fillId="17" borderId="6" xfId="0" applyFont="1" applyFill="1" applyBorder="1" applyAlignment="1" applyProtection="1">
      <alignment horizontal="center" vertical="center"/>
      <protection hidden="1"/>
    </xf>
    <xf numFmtId="0" fontId="60" fillId="17" borderId="7" xfId="0" applyFont="1" applyFill="1" applyBorder="1" applyAlignment="1" applyProtection="1">
      <alignment horizontal="center" vertical="center"/>
      <protection hidden="1"/>
    </xf>
    <xf numFmtId="0" fontId="60" fillId="17" borderId="3" xfId="0" applyFont="1" applyFill="1" applyBorder="1" applyAlignment="1" applyProtection="1">
      <alignment horizontal="center" vertical="center"/>
      <protection hidden="1"/>
    </xf>
    <xf numFmtId="0" fontId="60" fillId="17" borderId="4" xfId="0" applyFont="1" applyFill="1" applyBorder="1" applyAlignment="1" applyProtection="1">
      <alignment horizontal="center" vertical="center"/>
      <protection hidden="1"/>
    </xf>
    <xf numFmtId="0" fontId="33" fillId="31" borderId="71" xfId="0" applyFont="1" applyFill="1" applyBorder="1" applyAlignment="1" applyProtection="1">
      <alignment horizontal="center" vertical="center" textRotation="90" wrapText="1"/>
      <protection hidden="1"/>
    </xf>
    <xf numFmtId="0" fontId="33" fillId="31" borderId="70" xfId="0" applyFont="1" applyFill="1" applyBorder="1" applyAlignment="1" applyProtection="1">
      <alignment horizontal="center" vertical="center" textRotation="90" wrapText="1"/>
      <protection hidden="1"/>
    </xf>
    <xf numFmtId="0" fontId="33" fillId="31" borderId="50" xfId="0" applyFont="1" applyFill="1" applyBorder="1" applyAlignment="1" applyProtection="1">
      <alignment horizontal="center" vertical="center" textRotation="90" wrapText="1"/>
      <protection hidden="1"/>
    </xf>
    <xf numFmtId="0" fontId="33" fillId="30" borderId="40" xfId="0" applyFont="1" applyFill="1" applyBorder="1" applyAlignment="1" applyProtection="1">
      <alignment horizontal="center" vertical="center"/>
      <protection hidden="1"/>
    </xf>
    <xf numFmtId="0" fontId="33" fillId="30" borderId="9" xfId="0" applyFont="1" applyFill="1" applyBorder="1" applyAlignment="1" applyProtection="1">
      <alignment horizontal="center" vertical="center"/>
      <protection hidden="1"/>
    </xf>
    <xf numFmtId="0" fontId="33" fillId="30" borderId="44" xfId="0" applyFont="1" applyFill="1" applyBorder="1" applyAlignment="1" applyProtection="1">
      <alignment horizontal="center" vertical="center"/>
      <protection hidden="1"/>
    </xf>
    <xf numFmtId="0" fontId="9" fillId="30" borderId="43" xfId="0" applyFont="1" applyFill="1" applyBorder="1" applyAlignment="1" applyProtection="1">
      <alignment horizontal="center" vertical="center"/>
      <protection hidden="1"/>
    </xf>
    <xf numFmtId="0" fontId="9" fillId="30" borderId="44" xfId="0" applyFont="1" applyFill="1" applyBorder="1" applyAlignment="1" applyProtection="1">
      <alignment horizontal="center" vertical="center"/>
      <protection hidden="1"/>
    </xf>
    <xf numFmtId="1" fontId="33" fillId="32" borderId="32" xfId="0" applyNumberFormat="1" applyFont="1" applyFill="1" applyBorder="1" applyAlignment="1" applyProtection="1">
      <alignment horizontal="center" vertical="center" wrapText="1"/>
      <protection hidden="1"/>
    </xf>
    <xf numFmtId="1" fontId="61" fillId="32" borderId="32" xfId="0" applyNumberFormat="1" applyFont="1" applyFill="1" applyBorder="1" applyAlignment="1" applyProtection="1">
      <alignment horizontal="center" vertical="center" wrapText="1"/>
      <protection hidden="1"/>
    </xf>
    <xf numFmtId="1" fontId="61" fillId="32" borderId="43" xfId="0" applyNumberFormat="1"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170" fontId="33" fillId="32" borderId="34" xfId="0" applyNumberFormat="1"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3" fontId="33" fillId="32" borderId="42" xfId="0" applyNumberFormat="1" applyFont="1" applyFill="1" applyBorder="1" applyAlignment="1" applyProtection="1">
      <alignment horizontal="center" vertical="center" wrapText="1"/>
      <protection hidden="1"/>
    </xf>
    <xf numFmtId="0" fontId="61" fillId="32" borderId="45" xfId="0" applyFont="1" applyFill="1" applyBorder="1" applyAlignment="1" applyProtection="1">
      <alignment horizontal="center" vertical="center" wrapText="1"/>
      <protection hidden="1"/>
    </xf>
    <xf numFmtId="170" fontId="33" fillId="32" borderId="40" xfId="0" applyNumberFormat="1" applyFont="1" applyFill="1" applyBorder="1" applyAlignment="1" applyProtection="1">
      <alignment horizontal="center" vertical="center" wrapText="1"/>
      <protection hidden="1"/>
    </xf>
    <xf numFmtId="0" fontId="8" fillId="17" borderId="6" xfId="0" applyFont="1" applyFill="1" applyBorder="1" applyAlignment="1" applyProtection="1">
      <alignment horizontal="center" vertical="center"/>
      <protection hidden="1"/>
    </xf>
    <xf numFmtId="0" fontId="8" fillId="17" borderId="7" xfId="0" applyFont="1" applyFill="1" applyBorder="1" applyAlignment="1" applyProtection="1">
      <alignment horizontal="center" vertical="center"/>
      <protection hidden="1"/>
    </xf>
    <xf numFmtId="0" fontId="8" fillId="17" borderId="8" xfId="0" applyFont="1" applyFill="1" applyBorder="1" applyAlignment="1" applyProtection="1">
      <alignment horizontal="center" vertical="center"/>
      <protection hidden="1"/>
    </xf>
    <xf numFmtId="0" fontId="9" fillId="18" borderId="6" xfId="0" applyFont="1" applyFill="1" applyBorder="1" applyAlignment="1" applyProtection="1">
      <alignment horizontal="center" vertical="center" wrapText="1"/>
      <protection hidden="1"/>
    </xf>
    <xf numFmtId="0" fontId="9" fillId="18" borderId="7" xfId="0" applyFont="1" applyFill="1" applyBorder="1" applyAlignment="1" applyProtection="1">
      <alignment horizontal="center" vertical="center" wrapText="1"/>
      <protection hidden="1"/>
    </xf>
    <xf numFmtId="0" fontId="9" fillId="18" borderId="8" xfId="0" applyFont="1" applyFill="1" applyBorder="1" applyAlignment="1" applyProtection="1">
      <alignment horizontal="center" vertical="center" wrapText="1"/>
      <protection hidden="1"/>
    </xf>
    <xf numFmtId="0" fontId="33" fillId="32" borderId="39" xfId="0" applyFont="1" applyFill="1" applyBorder="1" applyAlignment="1" applyProtection="1">
      <alignment horizontal="center" vertical="center" wrapText="1"/>
      <protection hidden="1"/>
    </xf>
    <xf numFmtId="0" fontId="33" fillId="32" borderId="41"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4" fontId="33" fillId="31" borderId="31" xfId="0" applyNumberFormat="1" applyFont="1" applyFill="1" applyBorder="1" applyAlignment="1" applyProtection="1">
      <alignment horizontal="center" vertical="center"/>
      <protection hidden="1"/>
    </xf>
    <xf numFmtId="14" fontId="33" fillId="31" borderId="11" xfId="0" applyNumberFormat="1" applyFont="1" applyFill="1" applyBorder="1" applyAlignment="1" applyProtection="1">
      <alignment horizontal="center" vertical="center"/>
      <protection hidden="1"/>
    </xf>
    <xf numFmtId="14" fontId="33" fillId="31" borderId="55" xfId="0" applyNumberFormat="1"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wrapText="1"/>
      <protection hidden="1"/>
    </xf>
    <xf numFmtId="167" fontId="61" fillId="32" borderId="32" xfId="0" applyNumberFormat="1" applyFont="1" applyFill="1" applyBorder="1" applyAlignment="1" applyProtection="1">
      <alignment horizontal="center" vertical="center" wrapText="1"/>
      <protection hidden="1"/>
    </xf>
    <xf numFmtId="3" fontId="33" fillId="32" borderId="32" xfId="0" applyNumberFormat="1" applyFont="1" applyFill="1" applyBorder="1" applyAlignment="1" applyProtection="1">
      <alignment horizontal="center" vertical="center" wrapText="1"/>
      <protection hidden="1"/>
    </xf>
    <xf numFmtId="167" fontId="33" fillId="32" borderId="39" xfId="0" applyNumberFormat="1" applyFont="1" applyFill="1" applyBorder="1" applyAlignment="1" applyProtection="1">
      <alignment horizontal="center" vertical="center" wrapText="1"/>
      <protection hidden="1"/>
    </xf>
    <xf numFmtId="170" fontId="33" fillId="32" borderId="67" xfId="0" applyNumberFormat="1" applyFont="1" applyFill="1" applyBorder="1" applyAlignment="1" applyProtection="1">
      <alignment horizontal="center" vertical="center" wrapText="1"/>
      <protection hidden="1"/>
    </xf>
    <xf numFmtId="170" fontId="33" fillId="32" borderId="15" xfId="0" applyNumberFormat="1" applyFont="1" applyFill="1" applyBorder="1" applyAlignment="1" applyProtection="1">
      <alignment horizontal="center" vertical="center" wrapText="1"/>
      <protection hidden="1"/>
    </xf>
    <xf numFmtId="170" fontId="33" fillId="32" borderId="53" xfId="0" applyNumberFormat="1" applyFont="1" applyFill="1" applyBorder="1" applyAlignment="1" applyProtection="1">
      <alignment horizontal="center" vertical="center" wrapText="1"/>
      <protection hidden="1"/>
    </xf>
    <xf numFmtId="0" fontId="33" fillId="32" borderId="73" xfId="0" applyFont="1" applyFill="1" applyBorder="1" applyAlignment="1" applyProtection="1">
      <alignment horizontal="center" vertical="center" wrapText="1"/>
      <protection hidden="1"/>
    </xf>
    <xf numFmtId="0" fontId="33" fillId="32" borderId="65" xfId="0" applyFont="1" applyFill="1" applyBorder="1" applyAlignment="1" applyProtection="1">
      <alignment horizontal="center" vertical="center" wrapText="1"/>
      <protection hidden="1"/>
    </xf>
    <xf numFmtId="0" fontId="33" fillId="32" borderId="78" xfId="0" applyFont="1" applyFill="1" applyBorder="1" applyAlignment="1" applyProtection="1">
      <alignment horizontal="center" vertical="center" wrapText="1"/>
      <protection hidden="1"/>
    </xf>
    <xf numFmtId="3" fontId="33" fillId="30" borderId="29" xfId="0" applyNumberFormat="1" applyFont="1" applyFill="1" applyBorder="1" applyAlignment="1" applyProtection="1">
      <alignment horizontal="center" vertical="center" wrapText="1"/>
      <protection hidden="1"/>
    </xf>
    <xf numFmtId="0" fontId="61" fillId="30" borderId="24"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wrapText="1"/>
      <protection hidden="1"/>
    </xf>
    <xf numFmtId="0" fontId="61" fillId="30" borderId="53" xfId="0" applyFont="1" applyFill="1" applyBorder="1" applyAlignment="1" applyProtection="1">
      <alignment horizontal="center" vertical="center" wrapText="1"/>
      <protection hidden="1"/>
    </xf>
    <xf numFmtId="0" fontId="61" fillId="32" borderId="43"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protection hidden="1"/>
    </xf>
    <xf numFmtId="0" fontId="8" fillId="17" borderId="3" xfId="0" applyFont="1" applyFill="1" applyBorder="1" applyAlignment="1" applyProtection="1">
      <alignment horizontal="center" vertical="center"/>
      <protection hidden="1"/>
    </xf>
    <xf numFmtId="0" fontId="8" fillId="17" borderId="4" xfId="0" applyFont="1" applyFill="1" applyBorder="1" applyAlignment="1" applyProtection="1">
      <alignment horizontal="center" vertical="center"/>
      <protection hidden="1"/>
    </xf>
    <xf numFmtId="0" fontId="8" fillId="17" borderId="47" xfId="0" applyFont="1" applyFill="1" applyBorder="1" applyAlignment="1" applyProtection="1">
      <alignment horizontal="center" vertical="center"/>
      <protection hidden="1"/>
    </xf>
    <xf numFmtId="0" fontId="8" fillId="17" borderId="5" xfId="0" applyFont="1" applyFill="1" applyBorder="1" applyAlignment="1" applyProtection="1">
      <alignment horizontal="center" vertical="center"/>
      <protection hidden="1"/>
    </xf>
    <xf numFmtId="0" fontId="8" fillId="17" borderId="38" xfId="0" applyFont="1" applyFill="1" applyBorder="1" applyAlignment="1" applyProtection="1">
      <alignment horizontal="center" vertical="center"/>
      <protection hidden="1"/>
    </xf>
    <xf numFmtId="0" fontId="33" fillId="32" borderId="26" xfId="0" applyFont="1" applyFill="1" applyBorder="1" applyAlignment="1" applyProtection="1">
      <alignment horizontal="center" vertical="center"/>
      <protection hidden="1"/>
    </xf>
    <xf numFmtId="0" fontId="33" fillId="32" borderId="16" xfId="0" applyFont="1" applyFill="1" applyBorder="1" applyAlignment="1" applyProtection="1">
      <alignment horizontal="center" vertical="center"/>
      <protection hidden="1"/>
    </xf>
    <xf numFmtId="0" fontId="33" fillId="32" borderId="17" xfId="0" applyFont="1" applyFill="1" applyBorder="1" applyAlignment="1" applyProtection="1">
      <alignment horizontal="center" vertical="center"/>
      <protection hidden="1"/>
    </xf>
    <xf numFmtId="170" fontId="33" fillId="32" borderId="12" xfId="0" applyNumberFormat="1" applyFont="1" applyFill="1" applyBorder="1" applyAlignment="1" applyProtection="1">
      <alignment horizontal="center" vertical="center"/>
      <protection hidden="1"/>
    </xf>
    <xf numFmtId="170" fontId="33" fillId="32" borderId="15" xfId="0" applyNumberFormat="1" applyFont="1" applyFill="1" applyBorder="1" applyAlignment="1" applyProtection="1">
      <alignment horizontal="center" vertical="center"/>
      <protection hidden="1"/>
    </xf>
    <xf numFmtId="170" fontId="33" fillId="32" borderId="18" xfId="0" applyNumberFormat="1" applyFont="1" applyFill="1" applyBorder="1" applyAlignment="1" applyProtection="1">
      <alignment horizontal="center" vertical="center"/>
      <protection hidden="1"/>
    </xf>
    <xf numFmtId="170" fontId="33" fillId="32" borderId="53" xfId="0" applyNumberFormat="1" applyFont="1" applyFill="1" applyBorder="1" applyAlignment="1" applyProtection="1">
      <alignment horizontal="center" vertical="center"/>
      <protection hidden="1"/>
    </xf>
    <xf numFmtId="0" fontId="33" fillId="32" borderId="64" xfId="0" applyFont="1" applyFill="1" applyBorder="1" applyAlignment="1" applyProtection="1">
      <alignment horizontal="center" vertical="center"/>
      <protection hidden="1"/>
    </xf>
    <xf numFmtId="0" fontId="33" fillId="32" borderId="60" xfId="0" applyFont="1" applyFill="1" applyBorder="1" applyAlignment="1" applyProtection="1">
      <alignment horizontal="center" vertical="center"/>
      <protection hidden="1"/>
    </xf>
    <xf numFmtId="0" fontId="33" fillId="32" borderId="65" xfId="0" applyFont="1" applyFill="1" applyBorder="1" applyAlignment="1" applyProtection="1">
      <alignment horizontal="center" vertical="center"/>
      <protection hidden="1"/>
    </xf>
    <xf numFmtId="0" fontId="33" fillId="32" borderId="78" xfId="0" applyFont="1" applyFill="1" applyBorder="1" applyAlignment="1" applyProtection="1">
      <alignment horizontal="center" vertical="center"/>
      <protection hidden="1"/>
    </xf>
    <xf numFmtId="0" fontId="33" fillId="32" borderId="36" xfId="0" applyFont="1" applyFill="1" applyBorder="1" applyAlignment="1" applyProtection="1">
      <alignment horizontal="center" vertical="center" wrapText="1"/>
      <protection hidden="1"/>
    </xf>
    <xf numFmtId="14" fontId="33" fillId="32" borderId="60" xfId="0" applyNumberFormat="1" applyFont="1" applyFill="1" applyBorder="1" applyAlignment="1" applyProtection="1">
      <alignment horizontal="center" vertical="center"/>
      <protection hidden="1"/>
    </xf>
    <xf numFmtId="14" fontId="33" fillId="32" borderId="65" xfId="0" applyNumberFormat="1" applyFont="1" applyFill="1" applyBorder="1" applyAlignment="1" applyProtection="1">
      <alignment horizontal="center" vertical="center"/>
      <protection hidden="1"/>
    </xf>
    <xf numFmtId="14" fontId="33" fillId="32" borderId="36" xfId="0" applyNumberFormat="1" applyFont="1" applyFill="1" applyBorder="1" applyAlignment="1" applyProtection="1">
      <alignment horizontal="center" vertical="center"/>
      <protection hidden="1"/>
    </xf>
    <xf numFmtId="0" fontId="33" fillId="30" borderId="72" xfId="0" applyFont="1" applyFill="1" applyBorder="1" applyAlignment="1" applyProtection="1">
      <alignment horizontal="center" vertical="center" wrapText="1"/>
      <protection hidden="1"/>
    </xf>
    <xf numFmtId="0" fontId="33" fillId="30" borderId="51" xfId="0" applyFont="1" applyFill="1" applyBorder="1" applyAlignment="1" applyProtection="1">
      <alignment horizontal="center" vertical="center" wrapText="1"/>
      <protection hidden="1"/>
    </xf>
    <xf numFmtId="0" fontId="33" fillId="30" borderId="45" xfId="0"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wrapText="1"/>
      <protection hidden="1"/>
    </xf>
    <xf numFmtId="0" fontId="33" fillId="31" borderId="40" xfId="0" applyFont="1" applyFill="1" applyBorder="1" applyAlignment="1" applyProtection="1">
      <alignment horizontal="center" vertical="center"/>
      <protection hidden="1"/>
    </xf>
    <xf numFmtId="0" fontId="33" fillId="31" borderId="9" xfId="0" applyFont="1" applyFill="1" applyBorder="1" applyAlignment="1" applyProtection="1">
      <alignment horizontal="center" vertical="center"/>
      <protection hidden="1"/>
    </xf>
    <xf numFmtId="0" fontId="33" fillId="31" borderId="44" xfId="0" applyFont="1" applyFill="1" applyBorder="1" applyAlignment="1" applyProtection="1">
      <alignment horizontal="center" vertical="center"/>
      <protection hidden="1"/>
    </xf>
    <xf numFmtId="49" fontId="33" fillId="30" borderId="29" xfId="0" applyNumberFormat="1" applyFont="1" applyFill="1" applyBorder="1" applyAlignment="1" applyProtection="1">
      <alignment horizontal="center" vertical="center" wrapText="1"/>
      <protection hidden="1"/>
    </xf>
    <xf numFmtId="0" fontId="9" fillId="30" borderId="10" xfId="0" applyFont="1" applyFill="1" applyBorder="1" applyAlignment="1" applyProtection="1">
      <alignment horizontal="center" vertical="center"/>
      <protection hidden="1"/>
    </xf>
    <xf numFmtId="0" fontId="33" fillId="30" borderId="49" xfId="0" applyFont="1" applyFill="1" applyBorder="1" applyAlignment="1" applyProtection="1">
      <alignment horizontal="center" vertical="center"/>
      <protection hidden="1"/>
    </xf>
    <xf numFmtId="0" fontId="33" fillId="30" borderId="10" xfId="0" applyFont="1" applyFill="1" applyBorder="1" applyAlignment="1" applyProtection="1">
      <alignment horizontal="center" vertical="center"/>
      <protection hidden="1"/>
    </xf>
    <xf numFmtId="0" fontId="33" fillId="30" borderId="47" xfId="0" applyFont="1" applyFill="1" applyBorder="1" applyAlignment="1" applyProtection="1">
      <alignment horizontal="center" vertical="center"/>
      <protection hidden="1"/>
    </xf>
    <xf numFmtId="0" fontId="33" fillId="30" borderId="38" xfId="0" applyFont="1" applyFill="1" applyBorder="1" applyAlignment="1" applyProtection="1">
      <alignment horizontal="center" vertical="center"/>
      <protection hidden="1"/>
    </xf>
    <xf numFmtId="0" fontId="33" fillId="30" borderId="15" xfId="0" applyFont="1" applyFill="1" applyBorder="1" applyAlignment="1" applyProtection="1">
      <alignment horizontal="center" vertical="center"/>
      <protection hidden="1"/>
    </xf>
    <xf numFmtId="3" fontId="33" fillId="30" borderId="24" xfId="0" applyNumberFormat="1" applyFont="1" applyFill="1" applyBorder="1" applyAlignment="1" applyProtection="1">
      <alignment horizontal="center" vertical="center" wrapText="1"/>
      <protection hidden="1"/>
    </xf>
    <xf numFmtId="0" fontId="9" fillId="31" borderId="71" xfId="0" applyFont="1" applyFill="1" applyBorder="1" applyAlignment="1" applyProtection="1">
      <alignment horizontal="center" vertical="center" textRotation="90" wrapText="1"/>
      <protection hidden="1"/>
    </xf>
    <xf numFmtId="0" fontId="9" fillId="31" borderId="70" xfId="0" applyFont="1" applyFill="1" applyBorder="1" applyAlignment="1" applyProtection="1">
      <alignment horizontal="center" vertical="center" textRotation="90" wrapText="1"/>
      <protection hidden="1"/>
    </xf>
    <xf numFmtId="0" fontId="9" fillId="31" borderId="50" xfId="0" applyFont="1" applyFill="1" applyBorder="1" applyAlignment="1" applyProtection="1">
      <alignment horizontal="center" vertical="center" textRotation="90" wrapText="1"/>
      <protection hidden="1"/>
    </xf>
    <xf numFmtId="0" fontId="33" fillId="27" borderId="71" xfId="0" applyFont="1" applyFill="1" applyBorder="1" applyAlignment="1" applyProtection="1">
      <alignment horizontal="center" vertical="center"/>
      <protection hidden="1"/>
    </xf>
    <xf numFmtId="0" fontId="33" fillId="27" borderId="70" xfId="0" applyFont="1" applyFill="1" applyBorder="1" applyAlignment="1" applyProtection="1">
      <alignment horizontal="center" vertical="center"/>
      <protection hidden="1"/>
    </xf>
    <xf numFmtId="0" fontId="9" fillId="27" borderId="2" xfId="0" applyFont="1" applyFill="1" applyBorder="1" applyAlignment="1" applyProtection="1">
      <alignment horizontal="center" vertical="center" wrapText="1"/>
      <protection hidden="1"/>
    </xf>
    <xf numFmtId="0" fontId="9" fillId="27" borderId="3" xfId="0" applyFont="1" applyFill="1" applyBorder="1" applyAlignment="1" applyProtection="1">
      <alignment horizontal="center" vertical="center" wrapText="1"/>
      <protection hidden="1"/>
    </xf>
    <xf numFmtId="0" fontId="9" fillId="27" borderId="4" xfId="0" applyFont="1" applyFill="1" applyBorder="1" applyAlignment="1" applyProtection="1">
      <alignment horizontal="center" vertical="center" wrapText="1"/>
      <protection hidden="1"/>
    </xf>
    <xf numFmtId="0" fontId="9" fillId="27" borderId="10" xfId="0" applyFont="1" applyFill="1" applyBorder="1" applyAlignment="1" applyProtection="1">
      <alignment horizontal="center" vertical="center" wrapText="1"/>
      <protection hidden="1"/>
    </xf>
    <xf numFmtId="0" fontId="9" fillId="27" borderId="0" xfId="0" applyFont="1" applyFill="1" applyBorder="1" applyAlignment="1" applyProtection="1">
      <alignment horizontal="center" vertical="center" wrapText="1"/>
      <protection hidden="1"/>
    </xf>
    <xf numFmtId="0" fontId="9" fillId="27" borderId="49" xfId="0" applyFont="1" applyFill="1" applyBorder="1" applyAlignment="1" applyProtection="1">
      <alignment horizontal="center" vertical="center" wrapText="1"/>
      <protection hidden="1"/>
    </xf>
    <xf numFmtId="0" fontId="9" fillId="30" borderId="49"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protection hidden="1"/>
    </xf>
    <xf numFmtId="0" fontId="9" fillId="30" borderId="4" xfId="0" applyFont="1" applyFill="1" applyBorder="1" applyAlignment="1" applyProtection="1">
      <alignment horizontal="center" vertical="center"/>
      <protection hidden="1"/>
    </xf>
    <xf numFmtId="0" fontId="9" fillId="30" borderId="47" xfId="0" applyFont="1" applyFill="1" applyBorder="1" applyAlignment="1" applyProtection="1">
      <alignment horizontal="center" vertical="center"/>
      <protection hidden="1"/>
    </xf>
    <xf numFmtId="0" fontId="9" fillId="30" borderId="38"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wrapText="1"/>
      <protection hidden="1"/>
    </xf>
    <xf numFmtId="0" fontId="9" fillId="30" borderId="4" xfId="0" applyFont="1" applyFill="1" applyBorder="1" applyAlignment="1" applyProtection="1">
      <alignment horizontal="center" vertical="center" wrapText="1"/>
      <protection hidden="1"/>
    </xf>
    <xf numFmtId="0" fontId="9" fillId="30" borderId="10" xfId="0" applyFont="1" applyFill="1" applyBorder="1" applyAlignment="1" applyProtection="1">
      <alignment horizontal="center" vertical="center" wrapText="1"/>
      <protection hidden="1"/>
    </xf>
    <xf numFmtId="0" fontId="9" fillId="30" borderId="49" xfId="0" applyFont="1" applyFill="1" applyBorder="1" applyAlignment="1" applyProtection="1">
      <alignment horizontal="center" vertical="center" wrapText="1"/>
      <protection hidden="1"/>
    </xf>
    <xf numFmtId="0" fontId="9" fillId="30" borderId="47" xfId="0" applyFont="1" applyFill="1" applyBorder="1" applyAlignment="1" applyProtection="1">
      <alignment horizontal="center" vertical="center" wrapText="1"/>
      <protection hidden="1"/>
    </xf>
    <xf numFmtId="0" fontId="9" fillId="30" borderId="38" xfId="0" applyFont="1" applyFill="1" applyBorder="1" applyAlignment="1" applyProtection="1">
      <alignment horizontal="center" vertical="center" wrapText="1"/>
      <protection hidden="1"/>
    </xf>
    <xf numFmtId="0" fontId="33" fillId="30" borderId="6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textRotation="90" wrapText="1"/>
      <protection hidden="1"/>
    </xf>
    <xf numFmtId="0" fontId="33" fillId="31" borderId="47" xfId="0" applyFont="1" applyFill="1" applyBorder="1" applyAlignment="1" applyProtection="1">
      <alignment horizontal="center" vertical="center" textRotation="90" wrapText="1"/>
      <protection hidden="1"/>
    </xf>
    <xf numFmtId="0" fontId="9" fillId="31" borderId="2" xfId="0" applyFont="1" applyFill="1" applyBorder="1" applyAlignment="1" applyProtection="1">
      <alignment horizontal="center" vertical="center" textRotation="90" wrapText="1"/>
      <protection hidden="1"/>
    </xf>
    <xf numFmtId="0" fontId="9" fillId="31" borderId="10" xfId="0" applyFont="1" applyFill="1" applyBorder="1" applyAlignment="1" applyProtection="1">
      <alignment horizontal="center" vertical="center" textRotation="90" wrapText="1"/>
      <protection hidden="1"/>
    </xf>
    <xf numFmtId="0" fontId="9" fillId="31" borderId="47" xfId="0" applyFont="1" applyFill="1" applyBorder="1" applyAlignment="1" applyProtection="1">
      <alignment horizontal="center" vertical="center" textRotation="90" wrapText="1"/>
      <protection hidden="1"/>
    </xf>
    <xf numFmtId="0" fontId="60" fillId="17" borderId="8" xfId="0" applyFont="1" applyFill="1" applyBorder="1" applyAlignment="1" applyProtection="1">
      <alignment horizontal="center" vertical="center"/>
      <protection hidden="1"/>
    </xf>
    <xf numFmtId="0" fontId="9" fillId="30" borderId="39" xfId="0" applyFont="1" applyFill="1" applyBorder="1" applyAlignment="1" applyProtection="1">
      <alignment horizontal="center" vertical="center"/>
      <protection hidden="1"/>
    </xf>
    <xf numFmtId="0" fontId="33" fillId="30" borderId="32" xfId="0" applyFont="1" applyFill="1" applyBorder="1" applyAlignment="1" applyProtection="1">
      <alignment horizontal="center" vertical="center"/>
      <protection hidden="1"/>
    </xf>
    <xf numFmtId="14" fontId="33" fillId="32" borderId="34" xfId="0" applyNumberFormat="1" applyFont="1" applyFill="1" applyBorder="1" applyAlignment="1" applyProtection="1">
      <alignment horizontal="center" vertical="center" wrapText="1"/>
      <protection hidden="1"/>
    </xf>
    <xf numFmtId="0" fontId="9" fillId="30" borderId="3"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9" fillId="30" borderId="5" xfId="0" applyFont="1" applyFill="1" applyBorder="1" applyAlignment="1" applyProtection="1">
      <alignment horizontal="center" vertical="center"/>
      <protection hidden="1"/>
    </xf>
    <xf numFmtId="14" fontId="33" fillId="31" borderId="59" xfId="0" applyNumberFormat="1" applyFont="1" applyFill="1" applyBorder="1" applyAlignment="1" applyProtection="1">
      <alignment horizontal="center" vertical="center"/>
      <protection hidden="1"/>
    </xf>
    <xf numFmtId="14" fontId="33" fillId="31" borderId="23" xfId="0" applyNumberFormat="1" applyFont="1" applyFill="1" applyBorder="1" applyAlignment="1" applyProtection="1">
      <alignment horizontal="center" vertical="center"/>
      <protection hidden="1"/>
    </xf>
    <xf numFmtId="14" fontId="33" fillId="31" borderId="62" xfId="0" applyNumberFormat="1" applyFont="1" applyFill="1" applyBorder="1" applyAlignment="1" applyProtection="1">
      <alignment horizontal="center" vertical="center"/>
      <protection hidden="1"/>
    </xf>
    <xf numFmtId="0" fontId="33" fillId="31" borderId="2" xfId="0" applyFont="1" applyFill="1" applyBorder="1" applyAlignment="1" applyProtection="1">
      <alignment horizontal="center" vertical="center" textRotation="90" wrapText="1"/>
      <protection hidden="1"/>
    </xf>
    <xf numFmtId="0" fontId="33" fillId="31" borderId="29" xfId="0" applyFont="1" applyFill="1" applyBorder="1" applyAlignment="1" applyProtection="1">
      <alignment horizontal="center" vertical="center"/>
      <protection hidden="1"/>
    </xf>
    <xf numFmtId="0" fontId="33" fillId="31" borderId="24" xfId="0" applyFont="1" applyFill="1" applyBorder="1" applyAlignment="1" applyProtection="1">
      <alignment horizontal="center" vertical="center"/>
      <protection hidden="1"/>
    </xf>
    <xf numFmtId="0" fontId="33" fillId="31" borderId="46"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9" fillId="18" borderId="6" xfId="0" applyFont="1" applyFill="1" applyBorder="1" applyAlignment="1" applyProtection="1">
      <alignment horizontal="center" vertical="center"/>
      <protection hidden="1"/>
    </xf>
    <xf numFmtId="0" fontId="9" fillId="18" borderId="7" xfId="0" applyFont="1" applyFill="1" applyBorder="1" applyAlignment="1" applyProtection="1">
      <alignment horizontal="center" vertical="center"/>
      <protection hidden="1"/>
    </xf>
    <xf numFmtId="0" fontId="9" fillId="18" borderId="8"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vertical="center"/>
      <protection hidden="1"/>
    </xf>
    <xf numFmtId="0" fontId="33" fillId="0" borderId="59" xfId="0" applyFont="1" applyFill="1" applyBorder="1" applyAlignment="1" applyProtection="1">
      <alignment horizontal="center" vertical="center"/>
      <protection hidden="1"/>
    </xf>
    <xf numFmtId="0" fontId="33" fillId="0" borderId="54"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protection hidden="1"/>
    </xf>
    <xf numFmtId="0" fontId="33" fillId="0" borderId="48" xfId="0" applyFont="1" applyFill="1" applyBorder="1" applyAlignment="1" applyProtection="1">
      <alignment horizontal="center"/>
      <protection hidden="1"/>
    </xf>
    <xf numFmtId="0" fontId="8" fillId="17" borderId="7"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protection hidden="1"/>
    </xf>
    <xf numFmtId="0" fontId="8" fillId="17" borderId="4" xfId="0" applyFont="1" applyFill="1" applyBorder="1" applyAlignment="1" applyProtection="1">
      <alignment horizontal="center" vertical="center" wrapText="1"/>
      <protection hidden="1"/>
    </xf>
    <xf numFmtId="0" fontId="8" fillId="17" borderId="47" xfId="0" applyFont="1" applyFill="1" applyBorder="1" applyAlignment="1" applyProtection="1">
      <alignment horizontal="center" vertical="center" wrapText="1"/>
      <protection hidden="1"/>
    </xf>
    <xf numFmtId="0" fontId="8" fillId="17" borderId="5" xfId="0" applyFont="1" applyFill="1" applyBorder="1" applyAlignment="1" applyProtection="1">
      <alignment horizontal="center" vertical="center" wrapText="1"/>
      <protection hidden="1"/>
    </xf>
    <xf numFmtId="0" fontId="8" fillId="17" borderId="38" xfId="0" applyFont="1" applyFill="1" applyBorder="1" applyAlignment="1" applyProtection="1">
      <alignment horizontal="center" vertical="center" wrapText="1"/>
      <protection hidden="1"/>
    </xf>
    <xf numFmtId="0" fontId="9" fillId="27" borderId="48" xfId="0" applyFont="1" applyFill="1" applyBorder="1" applyAlignment="1" applyProtection="1">
      <alignment horizontal="center" vertical="center" wrapText="1"/>
      <protection hidden="1"/>
    </xf>
    <xf numFmtId="0" fontId="9" fillId="27" borderId="26" xfId="0" applyFont="1" applyFill="1" applyBorder="1" applyAlignment="1" applyProtection="1">
      <alignment horizontal="center" vertical="center" wrapText="1"/>
      <protection hidden="1"/>
    </xf>
    <xf numFmtId="0" fontId="1" fillId="16" borderId="58" xfId="0" applyFont="1" applyFill="1" applyBorder="1" applyAlignment="1" applyProtection="1">
      <alignment horizontal="left" vertical="center" wrapText="1"/>
      <protection hidden="1"/>
    </xf>
    <xf numFmtId="0" fontId="1" fillId="16" borderId="54" xfId="0" applyFont="1" applyFill="1" applyBorder="1" applyAlignment="1" applyProtection="1">
      <alignment horizontal="left" vertical="center" wrapText="1"/>
      <protection hidden="1"/>
    </xf>
    <xf numFmtId="0" fontId="1" fillId="16" borderId="6" xfId="0" applyFont="1" applyFill="1" applyBorder="1" applyAlignment="1" applyProtection="1">
      <alignment horizontal="left" vertical="center" wrapText="1"/>
      <protection hidden="1"/>
    </xf>
    <xf numFmtId="0" fontId="1"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10" fillId="0" borderId="0" xfId="0" applyFont="1" applyBorder="1" applyAlignment="1" applyProtection="1">
      <alignment horizontal="left" vertical="center" wrapText="1"/>
      <protection hidden="1"/>
    </xf>
    <xf numFmtId="0" fontId="8" fillId="4" borderId="2" xfId="0" applyFont="1" applyFill="1" applyBorder="1" applyAlignment="1" applyProtection="1">
      <alignment horizontal="center" vertical="center" wrapText="1"/>
      <protection hidden="1"/>
    </xf>
    <xf numFmtId="0" fontId="8" fillId="4" borderId="3"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1" fillId="16" borderId="2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0" fontId="1" fillId="21" borderId="79" xfId="0" applyFont="1" applyFill="1" applyBorder="1" applyAlignment="1" applyProtection="1">
      <alignment horizontal="center" vertical="center" wrapText="1"/>
      <protection hidden="1"/>
    </xf>
    <xf numFmtId="0" fontId="1" fillId="21" borderId="70" xfId="0" applyFont="1" applyFill="1" applyBorder="1" applyAlignment="1" applyProtection="1">
      <alignment horizontal="center" vertical="center" wrapText="1"/>
      <protection hidden="1"/>
    </xf>
    <xf numFmtId="0" fontId="1" fillId="21" borderId="74" xfId="0" applyFont="1" applyFill="1" applyBorder="1" applyAlignment="1" applyProtection="1">
      <alignment horizontal="center" vertical="center" wrapText="1"/>
      <protection hidden="1"/>
    </xf>
    <xf numFmtId="1" fontId="2" fillId="15" borderId="26" xfId="0" applyNumberFormat="1" applyFont="1" applyFill="1" applyBorder="1" applyAlignment="1" applyProtection="1">
      <alignment horizontal="center" vertical="center" wrapText="1"/>
      <protection hidden="1"/>
    </xf>
    <xf numFmtId="1" fontId="2" fillId="15" borderId="17" xfId="0" applyNumberFormat="1" applyFont="1" applyFill="1" applyBorder="1" applyAlignment="1" applyProtection="1">
      <alignment horizontal="center" vertical="center" wrapText="1"/>
      <protection hidden="1"/>
    </xf>
    <xf numFmtId="2" fontId="2" fillId="15" borderId="12" xfId="0" applyNumberFormat="1" applyFont="1" applyFill="1" applyBorder="1" applyAlignment="1" applyProtection="1">
      <alignment horizontal="center" vertical="center" wrapText="1"/>
      <protection hidden="1"/>
    </xf>
    <xf numFmtId="2" fontId="2" fillId="15" borderId="18" xfId="0" applyNumberFormat="1" applyFont="1" applyFill="1" applyBorder="1" applyAlignment="1" applyProtection="1">
      <alignment horizontal="center" vertical="center" wrapText="1"/>
      <protection hidden="1"/>
    </xf>
    <xf numFmtId="1" fontId="2" fillId="12" borderId="12" xfId="0" applyNumberFormat="1" applyFont="1" applyFill="1" applyBorder="1" applyAlignment="1" applyProtection="1">
      <alignment horizontal="center" vertical="center" wrapText="1"/>
      <protection hidden="1"/>
    </xf>
    <xf numFmtId="1" fontId="2" fillId="12" borderId="18" xfId="0" applyNumberFormat="1" applyFont="1" applyFill="1" applyBorder="1" applyAlignment="1" applyProtection="1">
      <alignment horizontal="center" vertical="center" wrapText="1"/>
      <protection hidden="1"/>
    </xf>
    <xf numFmtId="1" fontId="2" fillId="15" borderId="12" xfId="0" applyNumberFormat="1" applyFont="1" applyFill="1" applyBorder="1" applyAlignment="1" applyProtection="1">
      <alignment horizontal="center" vertical="center" wrapText="1"/>
      <protection hidden="1"/>
    </xf>
    <xf numFmtId="1" fontId="2" fillId="15" borderId="18" xfId="0" applyNumberFormat="1" applyFont="1" applyFill="1" applyBorder="1" applyAlignment="1" applyProtection="1">
      <alignment horizontal="center" vertical="center" wrapText="1"/>
      <protection hidden="1"/>
    </xf>
    <xf numFmtId="170" fontId="2" fillId="15" borderId="25" xfId="0" applyNumberFormat="1" applyFont="1" applyFill="1" applyBorder="1" applyAlignment="1" applyProtection="1">
      <alignment horizontal="center" vertical="center" wrapText="1"/>
      <protection hidden="1"/>
    </xf>
    <xf numFmtId="170" fontId="2" fillId="15" borderId="27" xfId="0" applyNumberFormat="1" applyFont="1" applyFill="1" applyBorder="1" applyAlignment="1" applyProtection="1">
      <alignment horizontal="center" vertical="center" wrapText="1"/>
      <protection hidden="1"/>
    </xf>
    <xf numFmtId="0" fontId="6" fillId="24" borderId="4" xfId="6" applyFont="1" applyBorder="1" applyAlignment="1" applyProtection="1">
      <alignment horizontal="center" vertical="center" wrapText="1"/>
      <protection locked="0" hidden="1"/>
    </xf>
    <xf numFmtId="0" fontId="6" fillId="24" borderId="38" xfId="6" applyFont="1" applyBorder="1" applyAlignment="1" applyProtection="1">
      <alignment horizontal="center" vertical="center" wrapText="1"/>
      <protection locked="0" hidden="1"/>
    </xf>
    <xf numFmtId="0" fontId="8" fillId="25" borderId="6" xfId="0" applyFont="1" applyFill="1" applyBorder="1" applyAlignment="1" applyProtection="1">
      <alignment horizontal="center" vertical="center" wrapText="1"/>
      <protection hidden="1"/>
    </xf>
    <xf numFmtId="0" fontId="8" fillId="25" borderId="7" xfId="0" applyFont="1" applyFill="1" applyBorder="1" applyAlignment="1" applyProtection="1">
      <alignment horizontal="center" vertical="center" wrapText="1"/>
      <protection hidden="1"/>
    </xf>
    <xf numFmtId="0" fontId="8" fillId="25" borderId="8" xfId="0" applyFont="1" applyFill="1" applyBorder="1" applyAlignment="1" applyProtection="1">
      <alignment horizontal="center" vertical="center" wrapText="1"/>
      <protection hidden="1"/>
    </xf>
    <xf numFmtId="0" fontId="2" fillId="12" borderId="13" xfId="0" applyFont="1" applyFill="1" applyBorder="1" applyAlignment="1" applyProtection="1">
      <alignment horizontal="center" vertical="center" wrapText="1"/>
      <protection hidden="1"/>
    </xf>
    <xf numFmtId="0" fontId="2" fillId="12" borderId="17" xfId="0" applyFont="1" applyFill="1" applyBorder="1" applyAlignment="1" applyProtection="1">
      <alignment horizontal="center" vertical="center" wrapText="1"/>
      <protection hidden="1"/>
    </xf>
    <xf numFmtId="0" fontId="2" fillId="12" borderId="23"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2" fillId="12" borderId="27" xfId="0" applyFont="1" applyFill="1" applyBorder="1" applyAlignment="1" applyProtection="1">
      <alignment horizontal="center" vertical="center" wrapText="1"/>
      <protection hidden="1"/>
    </xf>
    <xf numFmtId="0" fontId="2" fillId="12" borderId="63" xfId="0" applyFont="1" applyFill="1" applyBorder="1" applyAlignment="1" applyProtection="1">
      <alignment horizontal="center" vertical="center" wrapText="1"/>
      <protection hidden="1"/>
    </xf>
    <xf numFmtId="170" fontId="2" fillId="12" borderId="11" xfId="0" applyNumberFormat="1" applyFont="1" applyFill="1" applyBorder="1" applyAlignment="1" applyProtection="1">
      <alignment horizontal="center" vertical="center" wrapText="1"/>
      <protection hidden="1"/>
    </xf>
    <xf numFmtId="170" fontId="2" fillId="12" borderId="33" xfId="0" applyNumberFormat="1"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33" xfId="0"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0" fontId="1" fillId="16" borderId="7"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14" fontId="2" fillId="12" borderId="12" xfId="0" applyNumberFormat="1" applyFont="1" applyFill="1" applyBorder="1" applyAlignment="1" applyProtection="1">
      <alignment horizontal="center" vertical="center" wrapText="1"/>
      <protection hidden="1"/>
    </xf>
    <xf numFmtId="14" fontId="2" fillId="12" borderId="18"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9" fillId="0" borderId="6"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8" xfId="0" applyFont="1" applyFill="1" applyBorder="1" applyAlignment="1" applyProtection="1">
      <alignment horizontal="center" vertical="center" wrapText="1"/>
      <protection hidden="1"/>
    </xf>
    <xf numFmtId="170" fontId="2" fillId="19" borderId="28" xfId="0" applyNumberFormat="1" applyFont="1" applyFill="1" applyBorder="1" applyAlignment="1" applyProtection="1">
      <alignment horizontal="center" vertical="center" wrapText="1"/>
      <protection hidden="1"/>
    </xf>
    <xf numFmtId="170" fontId="2" fillId="19" borderId="21" xfId="0" applyNumberFormat="1"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14" fontId="2" fillId="19" borderId="20" xfId="0" applyNumberFormat="1" applyFont="1" applyFill="1" applyBorder="1" applyAlignment="1" applyProtection="1">
      <alignment horizontal="center" vertical="center" wrapText="1"/>
      <protection hidden="1"/>
    </xf>
    <xf numFmtId="0" fontId="2" fillId="19" borderId="12" xfId="0" applyFont="1" applyFill="1" applyBorder="1" applyAlignment="1" applyProtection="1">
      <alignment horizontal="center" vertical="center" wrapText="1"/>
      <protection hidden="1"/>
    </xf>
    <xf numFmtId="0" fontId="2" fillId="19" borderId="18" xfId="0" applyFont="1" applyFill="1" applyBorder="1" applyAlignment="1" applyProtection="1">
      <alignment horizontal="center" vertical="center" wrapText="1"/>
      <protection hidden="1"/>
    </xf>
    <xf numFmtId="0" fontId="65" fillId="25" borderId="6" xfId="0" applyFont="1" applyFill="1" applyBorder="1" applyAlignment="1" applyProtection="1">
      <alignment horizontal="center" vertical="center" wrapText="1"/>
      <protection hidden="1"/>
    </xf>
    <xf numFmtId="0" fontId="65" fillId="25" borderId="7" xfId="0" applyFont="1" applyFill="1" applyBorder="1" applyAlignment="1" applyProtection="1">
      <alignment horizontal="center" vertical="center" wrapText="1"/>
      <protection hidden="1"/>
    </xf>
    <xf numFmtId="0" fontId="65" fillId="25" borderId="8" xfId="0" applyFont="1" applyFill="1" applyBorder="1" applyAlignment="1" applyProtection="1">
      <alignment horizontal="center" vertical="center" wrapText="1"/>
      <protection hidden="1"/>
    </xf>
    <xf numFmtId="0" fontId="4" fillId="21" borderId="58" xfId="0" applyFont="1" applyFill="1" applyBorder="1" applyAlignment="1" applyProtection="1">
      <alignment horizontal="center" vertical="center" wrapText="1"/>
      <protection hidden="1"/>
    </xf>
    <xf numFmtId="0" fontId="4" fillId="21" borderId="59" xfId="0" applyFont="1" applyFill="1" applyBorder="1" applyAlignment="1" applyProtection="1">
      <alignment horizontal="center" vertical="center" wrapText="1"/>
      <protection hidden="1"/>
    </xf>
    <xf numFmtId="0" fontId="4" fillId="21" borderId="48" xfId="0" applyFont="1" applyFill="1" applyBorder="1" applyAlignment="1" applyProtection="1">
      <alignment horizontal="center" vertical="center" wrapText="1"/>
      <protection hidden="1"/>
    </xf>
    <xf numFmtId="0" fontId="4" fillId="16" borderId="31" xfId="0" applyFont="1" applyFill="1" applyBorder="1" applyAlignment="1" applyProtection="1">
      <alignment horizontal="center" vertical="center" wrapText="1"/>
      <protection hidden="1"/>
    </xf>
    <xf numFmtId="0" fontId="4" fillId="16" borderId="59" xfId="0" applyFont="1" applyFill="1" applyBorder="1" applyAlignment="1" applyProtection="1">
      <alignment horizontal="center" vertical="center" wrapText="1"/>
      <protection hidden="1"/>
    </xf>
    <xf numFmtId="0" fontId="4" fillId="16" borderId="48" xfId="0" applyFont="1" applyFill="1" applyBorder="1" applyAlignment="1" applyProtection="1">
      <alignment horizontal="center" vertical="center" wrapText="1"/>
      <protection hidden="1"/>
    </xf>
    <xf numFmtId="0" fontId="2" fillId="16" borderId="32" xfId="0" applyFont="1" applyFill="1" applyBorder="1" applyAlignment="1" applyProtection="1">
      <alignment horizontal="center" vertical="center" wrapText="1"/>
      <protection hidden="1"/>
    </xf>
    <xf numFmtId="0" fontId="2" fillId="16" borderId="9" xfId="0" applyFont="1" applyFill="1" applyBorder="1" applyAlignment="1" applyProtection="1">
      <alignment horizontal="center" vertical="center" wrapText="1"/>
      <protection hidden="1"/>
    </xf>
    <xf numFmtId="0" fontId="20" fillId="14" borderId="32" xfId="0" applyFont="1" applyFill="1" applyBorder="1" applyAlignment="1" applyProtection="1">
      <alignment horizontal="center" vertical="center" wrapText="1"/>
      <protection hidden="1"/>
    </xf>
    <xf numFmtId="0" fontId="20" fillId="14" borderId="9" xfId="0"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5" borderId="45" xfId="0" applyFont="1" applyFill="1" applyBorder="1" applyAlignment="1" applyProtection="1">
      <alignment horizontal="center" vertical="center" wrapText="1"/>
      <protection hidden="1"/>
    </xf>
    <xf numFmtId="0" fontId="4" fillId="16" borderId="41" xfId="0" applyFont="1" applyFill="1" applyBorder="1" applyAlignment="1" applyProtection="1">
      <alignment horizontal="center" vertical="center" wrapText="1"/>
      <protection hidden="1"/>
    </xf>
    <xf numFmtId="0" fontId="4"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6"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4" fillId="5" borderId="30"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0" fontId="1" fillId="5" borderId="7" xfId="0" applyFont="1" applyFill="1" applyBorder="1" applyAlignment="1" applyProtection="1">
      <alignment horizontal="center" vertical="center" wrapText="1"/>
      <protection hidden="1"/>
    </xf>
    <xf numFmtId="0" fontId="8" fillId="4" borderId="6"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1" fillId="16" borderId="30" xfId="0" applyFont="1" applyFill="1" applyBorder="1" applyAlignment="1" applyProtection="1">
      <alignment horizontal="center" vertical="center" wrapText="1"/>
      <protection hidden="1"/>
    </xf>
    <xf numFmtId="0" fontId="1"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2" fillId="6" borderId="28" xfId="0" applyNumberFormat="1" applyFont="1" applyFill="1" applyBorder="1" applyAlignment="1" applyProtection="1">
      <alignment horizontal="center" vertical="center" wrapText="1"/>
      <protection hidden="1"/>
    </xf>
    <xf numFmtId="0" fontId="2" fillId="6" borderId="7" xfId="0" applyNumberFormat="1" applyFont="1" applyFill="1" applyBorder="1" applyAlignment="1" applyProtection="1">
      <alignment horizontal="center" vertical="center" wrapText="1"/>
      <protection hidden="1"/>
    </xf>
    <xf numFmtId="0" fontId="2" fillId="6" borderId="8" xfId="0" applyNumberFormat="1" applyFont="1" applyFill="1" applyBorder="1" applyAlignment="1" applyProtection="1">
      <alignment horizontal="center" vertical="center" wrapText="1"/>
      <protection hidden="1"/>
    </xf>
    <xf numFmtId="0" fontId="2" fillId="16" borderId="43" xfId="0" applyFont="1" applyFill="1" applyBorder="1" applyAlignment="1" applyProtection="1">
      <alignment horizontal="center" vertical="center" wrapText="1"/>
      <protection hidden="1"/>
    </xf>
    <xf numFmtId="0" fontId="2" fillId="16" borderId="44" xfId="0" applyFont="1" applyFill="1" applyBorder="1" applyAlignment="1" applyProtection="1">
      <alignment horizontal="center" vertical="center" wrapText="1"/>
      <protection hidden="1"/>
    </xf>
    <xf numFmtId="0" fontId="8" fillId="4" borderId="35" xfId="0" applyFont="1" applyFill="1" applyBorder="1" applyAlignment="1" applyProtection="1">
      <alignment horizontal="center" vertical="center" wrapText="1"/>
      <protection hidden="1"/>
    </xf>
    <xf numFmtId="0" fontId="8" fillId="4" borderId="23" xfId="0" applyFont="1" applyFill="1" applyBorder="1" applyAlignment="1" applyProtection="1">
      <alignment horizontal="center" vertical="center" wrapText="1"/>
      <protection hidden="1"/>
    </xf>
    <xf numFmtId="0" fontId="8" fillId="4" borderId="14" xfId="0" applyFont="1" applyFill="1" applyBorder="1" applyAlignment="1" applyProtection="1">
      <alignment horizontal="center" vertical="center" wrapText="1"/>
      <protection hidden="1"/>
    </xf>
    <xf numFmtId="0" fontId="8" fillId="4" borderId="56" xfId="0" applyFont="1" applyFill="1" applyBorder="1" applyAlignment="1" applyProtection="1">
      <alignment horizontal="center" vertical="center" wrapText="1"/>
      <protection hidden="1"/>
    </xf>
    <xf numFmtId="0" fontId="8" fillId="4" borderId="62" xfId="0" applyFont="1" applyFill="1" applyBorder="1" applyAlignment="1" applyProtection="1">
      <alignment horizontal="center" vertical="center" wrapText="1"/>
      <protection hidden="1"/>
    </xf>
    <xf numFmtId="0" fontId="8" fillId="4" borderId="57" xfId="0" applyFont="1" applyFill="1" applyBorder="1" applyAlignment="1" applyProtection="1">
      <alignment horizontal="center" vertical="center" wrapText="1"/>
      <protection hidden="1"/>
    </xf>
    <xf numFmtId="0" fontId="2" fillId="5" borderId="35" xfId="0" applyFont="1" applyFill="1" applyBorder="1" applyAlignment="1" applyProtection="1">
      <alignment horizontal="left" vertical="center" wrapText="1"/>
      <protection hidden="1"/>
    </xf>
    <xf numFmtId="0" fontId="2" fillId="5" borderId="23" xfId="0" applyFont="1" applyFill="1" applyBorder="1" applyAlignment="1" applyProtection="1">
      <alignment horizontal="left" vertical="center" wrapText="1"/>
      <protection hidden="1"/>
    </xf>
    <xf numFmtId="0" fontId="2" fillId="5" borderId="71" xfId="0" applyFont="1" applyFill="1" applyBorder="1" applyAlignment="1" applyProtection="1">
      <alignment horizontal="center" vertical="center" wrapText="1"/>
      <protection hidden="1"/>
    </xf>
    <xf numFmtId="0" fontId="2" fillId="5" borderId="50" xfId="0" applyFont="1" applyFill="1" applyBorder="1" applyAlignment="1" applyProtection="1">
      <alignment horizontal="center" vertical="center" wrapText="1"/>
      <protection hidden="1"/>
    </xf>
    <xf numFmtId="0" fontId="1" fillId="5" borderId="32"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2" fillId="5" borderId="70" xfId="0"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left" vertical="center" wrapText="1"/>
      <protection hidden="1"/>
    </xf>
    <xf numFmtId="0" fontId="1" fillId="5" borderId="61" xfId="0" applyFont="1" applyFill="1" applyBorder="1" applyAlignment="1" applyProtection="1">
      <alignment horizontal="left" vertical="center" wrapText="1"/>
      <protection hidden="1"/>
    </xf>
    <xf numFmtId="0" fontId="8" fillId="2" borderId="1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left" vertical="center" wrapText="1"/>
      <protection hidden="1"/>
    </xf>
    <xf numFmtId="0" fontId="1" fillId="5" borderId="54" xfId="0" applyFont="1" applyFill="1" applyBorder="1" applyAlignment="1" applyProtection="1">
      <alignment horizontal="left" vertical="center" wrapText="1"/>
      <protection hidden="1"/>
    </xf>
    <xf numFmtId="0" fontId="1" fillId="5" borderId="35" xfId="0" applyFont="1" applyFill="1" applyBorder="1" applyAlignment="1" applyProtection="1">
      <alignment horizontal="left" vertical="center" wrapText="1"/>
      <protection hidden="1"/>
    </xf>
    <xf numFmtId="0" fontId="1" fillId="5" borderId="33" xfId="0" applyFont="1" applyFill="1" applyBorder="1" applyAlignment="1" applyProtection="1">
      <alignment horizontal="left" vertical="center" wrapText="1"/>
      <protection hidden="1"/>
    </xf>
    <xf numFmtId="0" fontId="1" fillId="5" borderId="21"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justify" vertical="center" wrapText="1"/>
      <protection hidden="1"/>
    </xf>
    <xf numFmtId="0" fontId="1" fillId="5" borderId="33" xfId="0" applyFont="1" applyFill="1" applyBorder="1" applyAlignment="1" applyProtection="1">
      <alignment horizontal="justify"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 fillId="2" borderId="43" xfId="0" applyFont="1" applyFill="1" applyBorder="1" applyAlignment="1" applyProtection="1">
      <alignment horizontal="center" vertical="center" wrapText="1"/>
      <protection hidden="1"/>
    </xf>
    <xf numFmtId="0" fontId="2" fillId="2" borderId="55"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justify" vertical="center" wrapText="1"/>
      <protection hidden="1"/>
    </xf>
    <xf numFmtId="0" fontId="1" fillId="5" borderId="61" xfId="0" applyFont="1" applyFill="1" applyBorder="1" applyAlignment="1" applyProtection="1">
      <alignment horizontal="justify" vertical="center" wrapText="1"/>
      <protection hidden="1"/>
    </xf>
    <xf numFmtId="0" fontId="8" fillId="8" borderId="6" xfId="0" applyFont="1" applyFill="1" applyBorder="1" applyAlignment="1" applyProtection="1">
      <alignment horizontal="center" vertical="center" wrapText="1"/>
      <protection hidden="1"/>
    </xf>
    <xf numFmtId="0" fontId="8" fillId="8" borderId="7" xfId="0" applyFont="1" applyFill="1" applyBorder="1" applyAlignment="1" applyProtection="1">
      <alignment horizontal="center" vertical="center" wrapText="1"/>
      <protection hidden="1"/>
    </xf>
    <xf numFmtId="0" fontId="8" fillId="8" borderId="8"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left" vertical="center" wrapText="1"/>
      <protection hidden="1"/>
    </xf>
    <xf numFmtId="0" fontId="1" fillId="5" borderId="41"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left" vertical="center" wrapText="1"/>
      <protection hidden="1"/>
    </xf>
    <xf numFmtId="0" fontId="1" fillId="5" borderId="34" xfId="0" applyFont="1" applyFill="1" applyBorder="1" applyAlignment="1" applyProtection="1">
      <alignment horizontal="left" vertical="center" wrapText="1"/>
      <protection hidden="1"/>
    </xf>
    <xf numFmtId="0" fontId="1" fillId="14" borderId="43" xfId="0" applyFont="1" applyFill="1" applyBorder="1" applyAlignment="1" applyProtection="1">
      <alignment horizontal="left" vertical="center" wrapText="1"/>
      <protection hidden="1"/>
    </xf>
    <xf numFmtId="0" fontId="1" fillId="14" borderId="37" xfId="0" applyFont="1" applyFill="1" applyBorder="1" applyAlignment="1" applyProtection="1">
      <alignment horizontal="left" vertical="center" wrapText="1"/>
      <protection hidden="1"/>
    </xf>
    <xf numFmtId="167" fontId="2" fillId="7" borderId="54" xfId="0" applyNumberFormat="1" applyFont="1" applyFill="1" applyBorder="1" applyAlignment="1" applyProtection="1">
      <alignment horizontal="center" vertical="center" wrapText="1"/>
      <protection hidden="1"/>
    </xf>
    <xf numFmtId="167" fontId="2" fillId="7" borderId="33" xfId="0" applyNumberFormat="1" applyFont="1" applyFill="1" applyBorder="1" applyAlignment="1" applyProtection="1">
      <alignment horizontal="center" vertical="center" wrapText="1"/>
      <protection hidden="1"/>
    </xf>
    <xf numFmtId="167" fontId="2" fillId="7" borderId="61" xfId="0" applyNumberFormat="1" applyFont="1" applyFill="1" applyBorder="1" applyAlignment="1" applyProtection="1">
      <alignment horizontal="center" vertical="center" wrapText="1"/>
      <protection hidden="1"/>
    </xf>
    <xf numFmtId="1" fontId="2" fillId="7" borderId="68" xfId="0" applyNumberFormat="1" applyFont="1" applyFill="1" applyBorder="1" applyAlignment="1" applyProtection="1">
      <alignment horizontal="center" vertical="center" wrapText="1"/>
      <protection hidden="1"/>
    </xf>
    <xf numFmtId="1" fontId="2" fillId="7" borderId="66" xfId="0" applyNumberFormat="1" applyFont="1" applyFill="1" applyBorder="1" applyAlignment="1" applyProtection="1">
      <alignment horizontal="center" vertical="center" wrapText="1"/>
      <protection hidden="1"/>
    </xf>
    <xf numFmtId="1" fontId="2" fillId="7" borderId="69" xfId="0" applyNumberFormat="1" applyFont="1" applyFill="1" applyBorder="1" applyAlignment="1" applyProtection="1">
      <alignment horizontal="center" vertical="center" wrapText="1"/>
      <protection hidden="1"/>
    </xf>
    <xf numFmtId="0" fontId="36" fillId="5" borderId="6" xfId="0" applyFont="1" applyFill="1" applyBorder="1" applyAlignment="1" applyProtection="1">
      <alignment horizontal="center" vertical="center" wrapText="1"/>
      <protection hidden="1"/>
    </xf>
    <xf numFmtId="0" fontId="36" fillId="5" borderId="7" xfId="0" applyFont="1" applyFill="1" applyBorder="1" applyAlignment="1" applyProtection="1">
      <alignment horizontal="center" vertical="center" wrapText="1"/>
      <protection hidden="1"/>
    </xf>
    <xf numFmtId="0" fontId="36" fillId="5" borderId="8" xfId="0" applyFont="1" applyFill="1" applyBorder="1" applyAlignment="1" applyProtection="1">
      <alignment horizontal="center" vertical="center" wrapText="1"/>
      <protection hidden="1"/>
    </xf>
    <xf numFmtId="2" fontId="20" fillId="14" borderId="9" xfId="0" applyNumberFormat="1" applyFont="1" applyFill="1" applyBorder="1" applyAlignment="1" applyProtection="1">
      <alignment horizontal="center" vertical="center" wrapText="1"/>
      <protection hidden="1"/>
    </xf>
    <xf numFmtId="0" fontId="1" fillId="16" borderId="58" xfId="0" applyFont="1" applyFill="1" applyBorder="1" applyAlignment="1" applyProtection="1">
      <alignment vertical="center" wrapText="1"/>
      <protection hidden="1"/>
    </xf>
    <xf numFmtId="0" fontId="1" fillId="16" borderId="54" xfId="0" applyFont="1" applyFill="1" applyBorder="1" applyAlignment="1" applyProtection="1">
      <alignment vertical="center" wrapText="1"/>
      <protection hidden="1"/>
    </xf>
    <xf numFmtId="0" fontId="1" fillId="16" borderId="58" xfId="0" applyFont="1" applyFill="1" applyBorder="1" applyAlignment="1" applyProtection="1">
      <alignment horizontal="justify" vertical="center" wrapText="1"/>
      <protection hidden="1"/>
    </xf>
    <xf numFmtId="0" fontId="1" fillId="16" borderId="54" xfId="0" applyFont="1" applyFill="1" applyBorder="1" applyAlignment="1" applyProtection="1">
      <alignment horizontal="justify" vertical="center" wrapText="1"/>
      <protection hidden="1"/>
    </xf>
    <xf numFmtId="0" fontId="1" fillId="16" borderId="6" xfId="0" applyFont="1" applyFill="1" applyBorder="1" applyAlignment="1" applyProtection="1">
      <alignment horizontal="justify" vertical="center" wrapText="1"/>
      <protection hidden="1"/>
    </xf>
    <xf numFmtId="0" fontId="1" fillId="16" borderId="8" xfId="0" applyFont="1" applyFill="1" applyBorder="1" applyAlignment="1" applyProtection="1">
      <alignment horizontal="justify" vertical="center" wrapText="1"/>
      <protection hidden="1"/>
    </xf>
    <xf numFmtId="0" fontId="1" fillId="14" borderId="6" xfId="0" applyFont="1" applyFill="1" applyBorder="1" applyAlignment="1" applyProtection="1">
      <alignment horizontal="center" vertical="center" wrapText="1"/>
      <protection hidden="1"/>
    </xf>
    <xf numFmtId="0" fontId="1" fillId="14" borderId="7" xfId="0" applyFont="1" applyFill="1" applyBorder="1" applyAlignment="1" applyProtection="1">
      <alignment horizontal="center" vertical="center" wrapText="1"/>
      <protection hidden="1"/>
    </xf>
    <xf numFmtId="0" fontId="1" fillId="14" borderId="8" xfId="0" applyFont="1" applyFill="1" applyBorder="1" applyAlignment="1" applyProtection="1">
      <alignment horizontal="center" vertical="center" wrapText="1"/>
      <protection hidden="1"/>
    </xf>
    <xf numFmtId="0" fontId="8" fillId="17" borderId="39" xfId="0" applyFont="1" applyFill="1" applyBorder="1" applyAlignment="1" applyProtection="1">
      <alignment horizontal="center" vertical="center"/>
      <protection hidden="1"/>
    </xf>
    <xf numFmtId="0" fontId="8" fillId="17" borderId="40" xfId="0" applyFont="1" applyFill="1" applyBorder="1" applyAlignment="1" applyProtection="1">
      <alignment horizontal="center" vertical="center"/>
      <protection hidden="1"/>
    </xf>
    <xf numFmtId="0" fontId="8" fillId="17" borderId="41"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170" fontId="73" fillId="0" borderId="5" xfId="0" applyNumberFormat="1" applyFont="1" applyBorder="1" applyAlignment="1">
      <alignment horizont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0" xfId="0" applyFont="1" applyFill="1" applyBorder="1" applyAlignment="1">
      <alignment horizontal="center" vertical="center"/>
    </xf>
    <xf numFmtId="170" fontId="2"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70" fontId="33" fillId="0" borderId="10" xfId="0" applyNumberFormat="1" applyFont="1" applyFill="1" applyBorder="1" applyAlignment="1">
      <alignment horizontal="center" vertical="center" wrapText="1"/>
    </xf>
    <xf numFmtId="170" fontId="33" fillId="0" borderId="47" xfId="0" applyNumberFormat="1" applyFont="1" applyFill="1" applyBorder="1" applyAlignment="1">
      <alignment horizontal="center" vertical="center" wrapText="1"/>
    </xf>
    <xf numFmtId="0" fontId="27" fillId="4" borderId="39" xfId="0" applyFont="1" applyFill="1" applyBorder="1" applyAlignment="1" applyProtection="1">
      <alignment horizontal="center" vertical="center" wrapText="1"/>
      <protection hidden="1"/>
    </xf>
    <xf numFmtId="0" fontId="27" fillId="4" borderId="40" xfId="0" applyFont="1" applyFill="1" applyBorder="1" applyAlignment="1" applyProtection="1">
      <alignment horizontal="center" vertical="center" wrapText="1"/>
      <protection hidden="1"/>
    </xf>
    <xf numFmtId="0" fontId="27" fillId="4" borderId="41" xfId="0" applyFont="1" applyFill="1" applyBorder="1" applyAlignment="1" applyProtection="1">
      <alignment horizontal="center" vertical="center" wrapText="1"/>
      <protection hidden="1"/>
    </xf>
    <xf numFmtId="0" fontId="27" fillId="4" borderId="43" xfId="0" applyFont="1" applyFill="1" applyBorder="1" applyAlignment="1" applyProtection="1">
      <alignment horizontal="center" vertical="center" wrapText="1"/>
      <protection hidden="1"/>
    </xf>
    <xf numFmtId="0" fontId="27" fillId="4" borderId="44" xfId="0" applyFont="1" applyFill="1" applyBorder="1" applyAlignment="1" applyProtection="1">
      <alignment horizontal="center" vertical="center" wrapText="1"/>
      <protection hidden="1"/>
    </xf>
    <xf numFmtId="0" fontId="27" fillId="4" borderId="37" xfId="0" applyFont="1" applyFill="1" applyBorder="1" applyAlignment="1" applyProtection="1">
      <alignment horizontal="center" vertical="center" wrapText="1"/>
      <protection hidden="1"/>
    </xf>
    <xf numFmtId="170" fontId="12" fillId="19" borderId="22" xfId="0" applyNumberFormat="1" applyFont="1" applyFill="1" applyBorder="1" applyAlignment="1" applyProtection="1">
      <alignment horizontal="center" vertical="center" wrapText="1"/>
      <protection hidden="1"/>
    </xf>
    <xf numFmtId="14" fontId="12" fillId="19" borderId="22" xfId="0" applyNumberFormat="1" applyFont="1" applyFill="1" applyBorder="1" applyAlignment="1" applyProtection="1">
      <alignment horizontal="center" vertical="center" wrapText="1"/>
      <protection hidden="1"/>
    </xf>
    <xf numFmtId="14" fontId="12" fillId="19" borderId="20" xfId="0" applyNumberFormat="1"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7" fillId="4" borderId="47" xfId="0" applyFont="1" applyFill="1" applyBorder="1" applyAlignment="1" applyProtection="1">
      <alignment horizontal="center" vertical="center" wrapText="1"/>
      <protection hidden="1"/>
    </xf>
    <xf numFmtId="0" fontId="27" fillId="4" borderId="5" xfId="0" applyFont="1" applyFill="1" applyBorder="1" applyAlignment="1" applyProtection="1">
      <alignment horizontal="center" vertical="center" wrapText="1"/>
      <protection hidden="1"/>
    </xf>
    <xf numFmtId="0" fontId="27" fillId="4" borderId="38" xfId="0"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0" fontId="23" fillId="0" borderId="7" xfId="0"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5" fillId="5" borderId="67" xfId="0" applyFont="1" applyFill="1" applyBorder="1" applyAlignment="1" applyProtection="1">
      <alignment horizontal="center" vertical="center" wrapText="1"/>
      <protection hidden="1"/>
    </xf>
    <xf numFmtId="0" fontId="5" fillId="5" borderId="15" xfId="0" applyFont="1" applyFill="1" applyBorder="1" applyAlignment="1" applyProtection="1">
      <alignment horizontal="center" vertical="center" wrapText="1"/>
      <protection hidden="1"/>
    </xf>
    <xf numFmtId="0" fontId="5" fillId="5" borderId="18" xfId="0" applyFont="1" applyFill="1" applyBorder="1" applyAlignment="1" applyProtection="1">
      <alignment horizontal="center" vertical="center" wrapText="1"/>
      <protection hidden="1"/>
    </xf>
    <xf numFmtId="0" fontId="5" fillId="5" borderId="73" xfId="0" applyFont="1" applyFill="1" applyBorder="1" applyAlignment="1" applyProtection="1">
      <alignment horizontal="center" vertical="center" wrapText="1"/>
      <protection hidden="1"/>
    </xf>
    <xf numFmtId="0" fontId="5" fillId="5" borderId="65" xfId="0" applyFont="1" applyFill="1" applyBorder="1" applyAlignment="1" applyProtection="1">
      <alignment horizontal="center" vertical="center" wrapText="1"/>
      <protection hidden="1"/>
    </xf>
    <xf numFmtId="0" fontId="5" fillId="5" borderId="36" xfId="0" applyFont="1" applyFill="1" applyBorder="1" applyAlignment="1" applyProtection="1">
      <alignment horizontal="center" vertical="center"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27" fillId="8" borderId="6" xfId="0" applyFont="1" applyFill="1" applyBorder="1" applyAlignment="1" applyProtection="1">
      <alignment horizontal="center" vertical="center" wrapText="1"/>
      <protection hidden="1"/>
    </xf>
    <xf numFmtId="0" fontId="27" fillId="8" borderId="7" xfId="0" applyFont="1" applyFill="1" applyBorder="1" applyAlignment="1" applyProtection="1">
      <alignment horizontal="center" vertical="center" wrapText="1"/>
      <protection hidden="1"/>
    </xf>
    <xf numFmtId="0" fontId="27" fillId="8" borderId="8" xfId="0" applyFont="1" applyFill="1" applyBorder="1" applyAlignment="1" applyProtection="1">
      <alignment horizontal="center" vertical="center" wrapText="1"/>
      <protection hidden="1"/>
    </xf>
    <xf numFmtId="0" fontId="41" fillId="8" borderId="2"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1" fillId="8" borderId="4" xfId="0" applyFont="1" applyFill="1" applyBorder="1" applyAlignment="1" applyProtection="1">
      <alignment horizontal="center" vertical="center" wrapText="1"/>
      <protection hidden="1"/>
    </xf>
    <xf numFmtId="1" fontId="20" fillId="7" borderId="4" xfId="0" applyNumberFormat="1" applyFont="1" applyFill="1" applyBorder="1" applyAlignment="1" applyProtection="1">
      <alignment horizontal="center" vertical="center" wrapText="1"/>
      <protection hidden="1"/>
    </xf>
    <xf numFmtId="1" fontId="20" fillId="7" borderId="49"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1"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50" xfId="0" applyNumberFormat="1" applyFont="1" applyFill="1" applyBorder="1" applyAlignment="1" applyProtection="1">
      <alignment horizontal="center" vertical="center" wrapText="1"/>
      <protection hidden="1"/>
    </xf>
    <xf numFmtId="2" fontId="12" fillId="15" borderId="9" xfId="0" applyNumberFormat="1" applyFont="1" applyFill="1" applyBorder="1" applyAlignment="1" applyProtection="1">
      <alignment horizontal="center" vertical="center" wrapText="1"/>
      <protection hidden="1"/>
    </xf>
    <xf numFmtId="2" fontId="12" fillId="15" borderId="44" xfId="0" applyNumberFormat="1" applyFont="1" applyFill="1" applyBorder="1" applyAlignment="1" applyProtection="1">
      <alignment horizontal="center" vertical="center" wrapText="1"/>
      <protection hidden="1"/>
    </xf>
    <xf numFmtId="0" fontId="5" fillId="5" borderId="72" xfId="0" applyFont="1" applyFill="1" applyBorder="1" applyAlignment="1" applyProtection="1">
      <alignment horizontal="center" vertical="center" wrapText="1"/>
      <protection hidden="1"/>
    </xf>
    <xf numFmtId="0" fontId="5" fillId="5" borderId="51" xfId="0" applyFont="1" applyFill="1" applyBorder="1" applyAlignment="1" applyProtection="1">
      <alignment horizontal="center" vertical="center" wrapText="1"/>
      <protection hidden="1"/>
    </xf>
    <xf numFmtId="0" fontId="27" fillId="25" borderId="2" xfId="0" applyFont="1" applyFill="1" applyBorder="1" applyAlignment="1" applyProtection="1">
      <alignment horizontal="center" vertical="center" wrapText="1"/>
      <protection hidden="1"/>
    </xf>
    <xf numFmtId="0" fontId="27" fillId="25" borderId="3" xfId="0" applyFont="1" applyFill="1" applyBorder="1" applyAlignment="1" applyProtection="1">
      <alignment horizontal="center" vertical="center" wrapText="1"/>
      <protection hidden="1"/>
    </xf>
    <xf numFmtId="0" fontId="27" fillId="25" borderId="4" xfId="0" applyFont="1" applyFill="1" applyBorder="1" applyAlignment="1" applyProtection="1">
      <alignment horizontal="center" vertical="center" wrapText="1"/>
      <protection hidden="1"/>
    </xf>
    <xf numFmtId="0" fontId="5" fillId="5" borderId="58" xfId="1" applyFont="1" applyFill="1" applyBorder="1" applyAlignment="1" applyProtection="1">
      <alignment horizontal="center" vertical="center" wrapText="1"/>
      <protection hidden="1"/>
    </xf>
    <xf numFmtId="0" fontId="5" fillId="5" borderId="48" xfId="1" applyFont="1" applyFill="1" applyBorder="1" applyAlignment="1" applyProtection="1">
      <alignment horizontal="center" vertical="center" wrapText="1"/>
      <protection hidden="1"/>
    </xf>
    <xf numFmtId="0" fontId="5" fillId="5" borderId="31" xfId="1" applyFont="1" applyFill="1" applyBorder="1" applyAlignment="1" applyProtection="1">
      <alignment horizontal="center" vertical="center" wrapText="1"/>
      <protection hidden="1"/>
    </xf>
    <xf numFmtId="0" fontId="5" fillId="5" borderId="54" xfId="1" applyFont="1" applyFill="1" applyBorder="1" applyAlignment="1" applyProtection="1">
      <alignment horizontal="center" vertical="center" wrapText="1"/>
      <protection hidden="1"/>
    </xf>
    <xf numFmtId="1" fontId="12" fillId="15" borderId="32" xfId="0" applyNumberFormat="1" applyFont="1" applyFill="1" applyBorder="1" applyAlignment="1" applyProtection="1">
      <alignment horizontal="center" vertical="center" wrapText="1"/>
      <protection hidden="1"/>
    </xf>
    <xf numFmtId="1" fontId="12" fillId="15" borderId="43" xfId="0" applyNumberFormat="1" applyFont="1" applyFill="1" applyBorder="1" applyAlignment="1" applyProtection="1">
      <alignment horizontal="center" vertical="center" wrapText="1"/>
      <protection hidden="1"/>
    </xf>
    <xf numFmtId="0" fontId="9" fillId="0" borderId="0" xfId="0" applyFont="1" applyFill="1" applyAlignment="1" applyProtection="1">
      <alignment horizontal="left" vertical="center"/>
      <protection hidden="1"/>
    </xf>
    <xf numFmtId="0" fontId="19" fillId="0" borderId="39" xfId="0" applyFont="1" applyBorder="1" applyAlignment="1" applyProtection="1">
      <alignment horizontal="left" vertical="center" wrapText="1"/>
      <protection hidden="1"/>
    </xf>
    <xf numFmtId="0" fontId="19" fillId="0" borderId="40" xfId="0" applyFont="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33" fillId="0" borderId="0" xfId="0" applyFont="1" applyFill="1" applyAlignment="1" applyProtection="1">
      <alignment horizontal="justify" vertical="center" wrapText="1"/>
      <protection hidden="1"/>
    </xf>
    <xf numFmtId="0" fontId="35" fillId="0" borderId="0" xfId="0" applyFont="1" applyAlignment="1" applyProtection="1">
      <alignment horizontal="justify" vertical="center" wrapText="1"/>
      <protection locked="0" hidden="1"/>
    </xf>
    <xf numFmtId="14" fontId="68" fillId="0" borderId="40" xfId="0" applyNumberFormat="1" applyFont="1" applyBorder="1" applyAlignment="1" applyProtection="1">
      <alignment horizontal="center" vertical="center" wrapText="1"/>
      <protection hidden="1"/>
    </xf>
    <xf numFmtId="0" fontId="68" fillId="0" borderId="41" xfId="0" applyFont="1" applyBorder="1" applyAlignment="1" applyProtection="1">
      <alignment horizontal="center" vertical="center" wrapText="1"/>
      <protection hidden="1"/>
    </xf>
    <xf numFmtId="0" fontId="11" fillId="0" borderId="6" xfId="0" applyFont="1" applyFill="1" applyBorder="1" applyAlignment="1" applyProtection="1">
      <alignment horizontal="center" vertical="center" wrapText="1"/>
      <protection hidden="1"/>
    </xf>
    <xf numFmtId="0" fontId="11" fillId="0" borderId="7" xfId="0" applyFont="1" applyFill="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11" fillId="0" borderId="6"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68" fillId="0" borderId="11" xfId="0" applyFont="1" applyFill="1" applyBorder="1" applyAlignment="1" applyProtection="1">
      <alignment horizontal="center" vertical="center" wrapText="1"/>
      <protection hidden="1"/>
    </xf>
    <xf numFmtId="0" fontId="68" fillId="0" borderId="14" xfId="0" applyFont="1" applyFill="1" applyBorder="1" applyAlignment="1" applyProtection="1">
      <alignment horizontal="center" vertical="center" wrapText="1"/>
      <protection hidden="1"/>
    </xf>
    <xf numFmtId="0" fontId="46" fillId="0" borderId="71" xfId="0" applyFont="1" applyFill="1" applyBorder="1" applyAlignment="1" applyProtection="1">
      <alignment horizontal="center" vertical="center"/>
      <protection hidden="1"/>
    </xf>
    <xf numFmtId="0" fontId="46" fillId="0" borderId="70" xfId="0" applyFont="1" applyFill="1" applyBorder="1" applyAlignment="1" applyProtection="1">
      <alignment horizontal="center" vertical="center"/>
      <protection hidden="1"/>
    </xf>
    <xf numFmtId="0" fontId="46" fillId="0" borderId="50" xfId="0" applyFont="1" applyFill="1" applyBorder="1" applyAlignment="1" applyProtection="1">
      <alignment horizontal="center" vertical="center"/>
      <protection hidden="1"/>
    </xf>
    <xf numFmtId="0" fontId="46" fillId="0" borderId="71" xfId="0" applyFont="1" applyFill="1" applyBorder="1" applyAlignment="1" applyProtection="1">
      <alignment horizontal="center" vertical="center" wrapText="1"/>
      <protection hidden="1"/>
    </xf>
    <xf numFmtId="0" fontId="46" fillId="0" borderId="70" xfId="0" applyFont="1" applyFill="1" applyBorder="1" applyAlignment="1" applyProtection="1">
      <alignment horizontal="center" vertical="center" wrapText="1"/>
      <protection hidden="1"/>
    </xf>
    <xf numFmtId="0" fontId="46" fillId="0" borderId="50" xfId="0" applyFont="1" applyFill="1" applyBorder="1" applyAlignment="1" applyProtection="1">
      <alignment horizontal="center" vertical="center" wrapText="1"/>
      <protection hidden="1"/>
    </xf>
    <xf numFmtId="0" fontId="68" fillId="0" borderId="31" xfId="0" applyFont="1" applyFill="1" applyBorder="1" applyAlignment="1" applyProtection="1">
      <alignment horizontal="center" vertical="center" wrapText="1"/>
      <protection hidden="1"/>
    </xf>
    <xf numFmtId="0" fontId="68" fillId="0" borderId="48" xfId="0" applyFont="1" applyFill="1" applyBorder="1" applyAlignment="1" applyProtection="1">
      <alignment horizontal="center" vertical="center" wrapText="1"/>
      <protection hidden="1"/>
    </xf>
    <xf numFmtId="0" fontId="35" fillId="0" borderId="0" xfId="0" applyFont="1" applyAlignment="1" applyProtection="1">
      <alignment horizontal="left" vertical="justify" wrapText="1"/>
      <protection hidden="1"/>
    </xf>
    <xf numFmtId="0" fontId="11" fillId="0" borderId="8" xfId="0" applyFont="1" applyFill="1" applyBorder="1" applyAlignment="1" applyProtection="1">
      <alignment horizontal="center" vertical="center" wrapText="1"/>
      <protection hidden="1"/>
    </xf>
    <xf numFmtId="1" fontId="68" fillId="0" borderId="9" xfId="0" applyNumberFormat="1" applyFont="1" applyBorder="1" applyAlignment="1" applyProtection="1">
      <alignment horizontal="center" vertical="center" wrapText="1"/>
      <protection hidden="1"/>
    </xf>
    <xf numFmtId="0" fontId="68" fillId="0" borderId="34" xfId="0" applyFont="1" applyBorder="1" applyAlignment="1" applyProtection="1">
      <alignment horizontal="center" vertical="center" wrapText="1"/>
      <protection hidden="1"/>
    </xf>
    <xf numFmtId="165" fontId="68" fillId="0" borderId="8" xfId="0" applyNumberFormat="1" applyFont="1" applyFill="1" applyBorder="1" applyAlignment="1" applyProtection="1">
      <alignment horizontal="center" vertical="center" wrapText="1"/>
      <protection hidden="1"/>
    </xf>
    <xf numFmtId="165" fontId="68" fillId="0" borderId="1" xfId="0" applyNumberFormat="1" applyFont="1" applyFill="1" applyBorder="1" applyAlignment="1" applyProtection="1">
      <alignment horizontal="center" vertical="center" wrapText="1"/>
      <protection hidden="1"/>
    </xf>
    <xf numFmtId="179" fontId="68" fillId="0" borderId="3" xfId="0" applyNumberFormat="1" applyFont="1" applyFill="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46" fillId="0" borderId="0" xfId="0" applyNumberFormat="1" applyFont="1" applyBorder="1" applyAlignment="1" applyProtection="1">
      <alignment horizontal="left" vertical="center" wrapText="1"/>
      <protection hidden="1"/>
    </xf>
    <xf numFmtId="0" fontId="46" fillId="0" borderId="0" xfId="0" applyFont="1" applyBorder="1" applyAlignment="1" applyProtection="1">
      <alignment horizontal="left" vertical="center" wrapText="1"/>
      <protection hidden="1"/>
    </xf>
    <xf numFmtId="170" fontId="35" fillId="0" borderId="0" xfId="0" applyNumberFormat="1" applyFont="1" applyAlignment="1" applyProtection="1">
      <alignment horizontal="left" vertical="center" wrapText="1"/>
      <protection hidden="1"/>
    </xf>
    <xf numFmtId="170" fontId="33" fillId="0" borderId="0" xfId="0" applyNumberFormat="1" applyFont="1" applyBorder="1" applyAlignment="1" applyProtection="1">
      <alignment horizontal="left" vertical="center" wrapText="1"/>
      <protection hidden="1"/>
    </xf>
    <xf numFmtId="0" fontId="33" fillId="0" borderId="0" xfId="0" applyFont="1" applyFill="1" applyBorder="1" applyAlignment="1" applyProtection="1">
      <alignment horizontal="left" vertical="center" wrapText="1"/>
      <protection hidden="1"/>
    </xf>
    <xf numFmtId="0" fontId="31" fillId="0" borderId="0" xfId="0" applyFont="1" applyAlignment="1" applyProtection="1">
      <alignment horizontal="center"/>
      <protection hidden="1"/>
    </xf>
    <xf numFmtId="0" fontId="33" fillId="2" borderId="0" xfId="0" applyFont="1" applyFill="1" applyBorder="1" applyAlignment="1" applyProtection="1">
      <alignment horizontal="left" vertical="center" wrapText="1"/>
      <protection hidden="1"/>
    </xf>
    <xf numFmtId="14" fontId="35" fillId="0" borderId="0" xfId="0" applyNumberFormat="1" applyFont="1" applyBorder="1" applyAlignment="1" applyProtection="1">
      <alignment horizontal="left" vertical="center" wrapText="1"/>
      <protection hidden="1"/>
    </xf>
    <xf numFmtId="0" fontId="35" fillId="0" borderId="0" xfId="0" applyFont="1" applyAlignment="1" applyProtection="1">
      <alignment horizontal="left" vertical="center" wrapText="1"/>
      <protection locked="0" hidden="1"/>
    </xf>
    <xf numFmtId="0" fontId="35" fillId="0" borderId="0" xfId="0" applyFont="1" applyAlignment="1" applyProtection="1">
      <alignment horizontal="left" vertical="center" wrapText="1"/>
      <protection hidden="1"/>
    </xf>
    <xf numFmtId="14" fontId="33" fillId="0" borderId="0" xfId="0" applyNumberFormat="1" applyFont="1" applyBorder="1" applyAlignment="1" applyProtection="1">
      <alignment horizontal="left" vertical="center" wrapText="1"/>
      <protection hidden="1"/>
    </xf>
    <xf numFmtId="1" fontId="8" fillId="0" borderId="0" xfId="0" applyNumberFormat="1" applyFont="1" applyAlignment="1" applyProtection="1">
      <alignment horizontal="left"/>
      <protection hidden="1"/>
    </xf>
    <xf numFmtId="0" fontId="31" fillId="0" borderId="0" xfId="0" applyFont="1" applyAlignment="1" applyProtection="1">
      <alignment horizontal="left" vertical="center" wrapText="1"/>
      <protection hidden="1"/>
    </xf>
    <xf numFmtId="0" fontId="33" fillId="0" borderId="0" xfId="0" applyFont="1" applyBorder="1" applyAlignment="1" applyProtection="1">
      <alignment horizontal="right" vertical="center" wrapText="1"/>
      <protection hidden="1"/>
    </xf>
    <xf numFmtId="0" fontId="68" fillId="0" borderId="40" xfId="0" applyFont="1" applyBorder="1" applyAlignment="1" applyProtection="1">
      <alignment horizontal="center" vertical="center" wrapText="1"/>
      <protection hidden="1"/>
    </xf>
    <xf numFmtId="0" fontId="33" fillId="0" borderId="0" xfId="0" applyFont="1" applyAlignment="1" applyProtection="1">
      <alignment horizontal="left" vertical="center" wrapText="1"/>
      <protection hidden="1"/>
    </xf>
    <xf numFmtId="0" fontId="19" fillId="0" borderId="55" xfId="0" applyFont="1" applyFill="1" applyBorder="1" applyAlignment="1" applyProtection="1">
      <alignment horizontal="center" vertical="center" wrapText="1"/>
      <protection hidden="1"/>
    </xf>
    <xf numFmtId="0" fontId="19" fillId="0" borderId="57" xfId="0" applyFont="1" applyFill="1" applyBorder="1" applyAlignment="1" applyProtection="1">
      <alignment horizontal="center" vertical="center" wrapText="1"/>
      <protection hidden="1"/>
    </xf>
    <xf numFmtId="0" fontId="35" fillId="0" borderId="0" xfId="0" applyFont="1" applyFill="1" applyAlignment="1" applyProtection="1">
      <alignment horizontal="justify" vertical="justify" wrapText="1"/>
      <protection locked="0" hidden="1"/>
    </xf>
    <xf numFmtId="0" fontId="19" fillId="0" borderId="32" xfId="0" applyFont="1" applyBorder="1" applyAlignment="1" applyProtection="1">
      <alignment horizontal="left" vertical="center" wrapText="1"/>
      <protection hidden="1"/>
    </xf>
    <xf numFmtId="0" fontId="19" fillId="0" borderId="9" xfId="0" applyFont="1" applyBorder="1" applyAlignment="1" applyProtection="1">
      <alignment horizontal="left" vertical="center" wrapText="1"/>
      <protection hidden="1"/>
    </xf>
    <xf numFmtId="0" fontId="19" fillId="0" borderId="5" xfId="0" applyFont="1" applyBorder="1" applyAlignment="1" applyProtection="1">
      <alignment horizontal="left" vertical="center" wrapText="1"/>
      <protection hidden="1"/>
    </xf>
    <xf numFmtId="0" fontId="9" fillId="0" borderId="1" xfId="0" applyFont="1" applyBorder="1" applyAlignment="1" applyProtection="1">
      <alignment horizontal="center" vertical="center" wrapText="1"/>
      <protection hidden="1"/>
    </xf>
    <xf numFmtId="173" fontId="33" fillId="0" borderId="1" xfId="0" applyNumberFormat="1" applyFont="1" applyBorder="1" applyAlignment="1" applyProtection="1">
      <alignment horizontal="center" vertical="center" wrapText="1"/>
      <protection hidden="1"/>
    </xf>
    <xf numFmtId="185" fontId="33" fillId="2" borderId="1" xfId="0" applyNumberFormat="1" applyFont="1" applyFill="1" applyBorder="1" applyAlignment="1" applyProtection="1">
      <alignment horizontal="center" vertical="center" wrapText="1"/>
      <protection hidden="1"/>
    </xf>
    <xf numFmtId="174" fontId="33" fillId="0" borderId="1" xfId="0" applyNumberFormat="1" applyFont="1" applyBorder="1" applyAlignment="1" applyProtection="1">
      <alignment horizontal="center" vertical="center" wrapText="1"/>
      <protection hidden="1"/>
    </xf>
    <xf numFmtId="0" fontId="35" fillId="2" borderId="0" xfId="0" applyFont="1" applyFill="1" applyBorder="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9" fillId="0" borderId="0" xfId="0" applyFont="1" applyFill="1" applyAlignment="1" applyProtection="1">
      <alignment horizontal="left" vertical="center" wrapText="1"/>
      <protection hidden="1"/>
    </xf>
    <xf numFmtId="166" fontId="68" fillId="0" borderId="8" xfId="0" applyNumberFormat="1" applyFont="1" applyFill="1" applyBorder="1" applyAlignment="1" applyProtection="1">
      <alignment horizontal="center" vertical="center" wrapText="1"/>
      <protection hidden="1"/>
    </xf>
    <xf numFmtId="166" fontId="68" fillId="0" borderId="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9" fillId="0" borderId="0" xfId="0" applyFont="1" applyFill="1" applyBorder="1" applyAlignment="1" applyProtection="1">
      <alignment horizontal="left" vertical="center" wrapText="1"/>
      <protection hidden="1"/>
    </xf>
    <xf numFmtId="175" fontId="54" fillId="0" borderId="2" xfId="0" applyNumberFormat="1" applyFont="1" applyFill="1" applyBorder="1" applyAlignment="1" applyProtection="1">
      <alignment horizontal="center" vertical="center" wrapText="1"/>
      <protection hidden="1"/>
    </xf>
    <xf numFmtId="175" fontId="54" fillId="0" borderId="4" xfId="0" applyNumberFormat="1" applyFont="1" applyFill="1" applyBorder="1" applyAlignment="1" applyProtection="1">
      <alignment horizontal="center" vertical="center" wrapText="1"/>
      <protection hidden="1"/>
    </xf>
    <xf numFmtId="175" fontId="54" fillId="0" borderId="10" xfId="0" applyNumberFormat="1" applyFont="1" applyFill="1" applyBorder="1" applyAlignment="1" applyProtection="1">
      <alignment horizontal="center" vertical="center" wrapText="1"/>
      <protection hidden="1"/>
    </xf>
    <xf numFmtId="175" fontId="54" fillId="0" borderId="49" xfId="0" applyNumberFormat="1" applyFont="1" applyFill="1" applyBorder="1" applyAlignment="1" applyProtection="1">
      <alignment horizontal="center" vertical="center" wrapText="1"/>
      <protection hidden="1"/>
    </xf>
    <xf numFmtId="175" fontId="54" fillId="0" borderId="47" xfId="0" applyNumberFormat="1" applyFont="1" applyFill="1" applyBorder="1" applyAlignment="1" applyProtection="1">
      <alignment horizontal="center" vertical="center" wrapText="1"/>
      <protection hidden="1"/>
    </xf>
    <xf numFmtId="175" fontId="54" fillId="0" borderId="38" xfId="0" applyNumberFormat="1"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8" fillId="0" borderId="0" xfId="0" applyFont="1" applyFill="1" applyBorder="1" applyAlignment="1" applyProtection="1">
      <alignment horizontal="center" vertical="center" wrapText="1"/>
      <protection hidden="1"/>
    </xf>
    <xf numFmtId="0" fontId="19" fillId="0" borderId="43" xfId="0" applyFont="1" applyBorder="1" applyAlignment="1" applyProtection="1">
      <alignment horizontal="left" vertical="center" wrapText="1"/>
      <protection hidden="1"/>
    </xf>
    <xf numFmtId="0" fontId="19" fillId="0" borderId="44" xfId="0" applyFont="1" applyBorder="1" applyAlignment="1" applyProtection="1">
      <alignment horizontal="left" vertical="center" wrapText="1"/>
      <protection hidden="1"/>
    </xf>
    <xf numFmtId="1" fontId="19" fillId="0" borderId="55" xfId="0" applyNumberFormat="1" applyFont="1" applyFill="1" applyBorder="1" applyAlignment="1" applyProtection="1">
      <alignment horizontal="center" vertical="center" wrapText="1"/>
      <protection hidden="1"/>
    </xf>
    <xf numFmtId="1" fontId="19" fillId="0" borderId="57" xfId="0" applyNumberFormat="1" applyFont="1" applyFill="1" applyBorder="1" applyAlignment="1" applyProtection="1">
      <alignment horizontal="center" vertical="center" wrapText="1"/>
      <protection hidden="1"/>
    </xf>
    <xf numFmtId="0" fontId="19" fillId="0" borderId="44" xfId="0" applyFont="1" applyFill="1" applyBorder="1" applyAlignment="1" applyProtection="1">
      <alignment horizontal="center" vertical="center" wrapText="1"/>
      <protection hidden="1"/>
    </xf>
    <xf numFmtId="0" fontId="19" fillId="0" borderId="37" xfId="0" applyFont="1" applyFill="1" applyBorder="1" applyAlignment="1" applyProtection="1">
      <alignment horizontal="center" vertical="center" wrapText="1"/>
      <protection hidden="1"/>
    </xf>
    <xf numFmtId="0" fontId="33" fillId="0" borderId="81" xfId="0" applyFont="1" applyBorder="1" applyAlignment="1" applyProtection="1">
      <alignment horizontal="center"/>
      <protection hidden="1"/>
    </xf>
    <xf numFmtId="0" fontId="33" fillId="0" borderId="13" xfId="0" applyFont="1" applyBorder="1" applyAlignment="1" applyProtection="1">
      <alignment horizontal="center"/>
      <protection hidden="1"/>
    </xf>
    <xf numFmtId="0" fontId="33" fillId="0" borderId="0" xfId="0" applyFont="1" applyAlignment="1" applyProtection="1">
      <alignment horizontal="center" vertical="center"/>
      <protection hidden="1"/>
    </xf>
    <xf numFmtId="0" fontId="33" fillId="0" borderId="0" xfId="0" applyFont="1" applyFill="1" applyAlignment="1" applyProtection="1">
      <alignment horizontal="center"/>
      <protection hidden="1"/>
    </xf>
    <xf numFmtId="0" fontId="33" fillId="0" borderId="0" xfId="0" applyFont="1" applyAlignment="1" applyProtection="1">
      <alignment horizontal="left"/>
      <protection hidden="1"/>
    </xf>
    <xf numFmtId="14" fontId="33" fillId="0" borderId="0" xfId="0" applyNumberFormat="1" applyFont="1" applyAlignment="1" applyProtection="1">
      <alignment horizontal="left"/>
      <protection hidden="1"/>
    </xf>
    <xf numFmtId="1" fontId="9" fillId="0" borderId="0" xfId="0" applyNumberFormat="1" applyFont="1" applyAlignment="1" applyProtection="1">
      <alignment horizontal="left"/>
      <protection hidden="1"/>
    </xf>
    <xf numFmtId="1" fontId="45" fillId="2" borderId="0" xfId="0" applyNumberFormat="1" applyFont="1" applyFill="1" applyAlignment="1" applyProtection="1">
      <alignment horizontal="left"/>
      <protection hidden="1"/>
    </xf>
    <xf numFmtId="0" fontId="45" fillId="2" borderId="0" xfId="0" applyFont="1" applyFill="1" applyAlignment="1" applyProtection="1">
      <alignment horizontal="left"/>
      <protection hidden="1"/>
    </xf>
    <xf numFmtId="0" fontId="47" fillId="0" borderId="0" xfId="0" applyFont="1" applyAlignment="1" applyProtection="1">
      <alignment horizontal="center" vertical="center"/>
      <protection hidden="1"/>
    </xf>
    <xf numFmtId="0" fontId="35" fillId="2" borderId="0" xfId="0" applyFont="1" applyFill="1" applyAlignment="1" applyProtection="1">
      <alignment horizontal="justify" vertical="justify" wrapText="1"/>
      <protection hidden="1"/>
    </xf>
    <xf numFmtId="0" fontId="36" fillId="0" borderId="0" xfId="0" applyFont="1" applyFill="1" applyAlignment="1" applyProtection="1">
      <alignment horizontal="center"/>
      <protection hidden="1"/>
    </xf>
    <xf numFmtId="0" fontId="9" fillId="0" borderId="0" xfId="0" applyFont="1" applyAlignment="1" applyProtection="1">
      <alignment horizontal="right"/>
      <protection hidden="1"/>
    </xf>
    <xf numFmtId="1" fontId="9" fillId="0" borderId="0" xfId="0" applyNumberFormat="1" applyFont="1" applyAlignment="1" applyProtection="1">
      <alignment horizontal="right"/>
      <protection hidden="1"/>
    </xf>
    <xf numFmtId="167" fontId="9" fillId="2" borderId="0" xfId="0" applyNumberFormat="1" applyFont="1" applyFill="1" applyAlignment="1" applyProtection="1">
      <alignment horizontal="right"/>
      <protection hidden="1"/>
    </xf>
    <xf numFmtId="1" fontId="72" fillId="2" borderId="0" xfId="0" applyNumberFormat="1" applyFont="1" applyFill="1" applyAlignment="1" applyProtection="1">
      <alignment horizontal="left"/>
      <protection hidden="1"/>
    </xf>
    <xf numFmtId="0" fontId="72" fillId="2" borderId="0" xfId="0" applyFont="1" applyFill="1" applyAlignment="1" applyProtection="1">
      <alignment horizontal="left"/>
      <protection hidden="1"/>
    </xf>
    <xf numFmtId="0" fontId="68" fillId="0" borderId="32" xfId="0" applyFont="1" applyBorder="1" applyAlignment="1" applyProtection="1">
      <alignment horizontal="left" vertical="center" wrapText="1"/>
      <protection hidden="1"/>
    </xf>
    <xf numFmtId="0" fontId="68" fillId="0" borderId="9" xfId="0" applyFont="1" applyBorder="1" applyAlignment="1" applyProtection="1">
      <alignment horizontal="left" vertical="center" wrapText="1"/>
      <protection hidden="1"/>
    </xf>
    <xf numFmtId="0" fontId="68" fillId="0" borderId="43" xfId="0" applyFont="1" applyBorder="1" applyAlignment="1" applyProtection="1">
      <alignment horizontal="left" vertical="center" wrapText="1"/>
      <protection hidden="1"/>
    </xf>
    <xf numFmtId="0" fontId="68" fillId="0" borderId="44" xfId="0" applyFont="1" applyBorder="1" applyAlignment="1" applyProtection="1">
      <alignment horizontal="left" vertical="center" wrapText="1"/>
      <protection hidden="1"/>
    </xf>
    <xf numFmtId="0" fontId="68" fillId="0" borderId="39" xfId="0" applyFont="1" applyBorder="1" applyAlignment="1" applyProtection="1">
      <alignment horizontal="left" vertical="center" wrapText="1"/>
      <protection hidden="1"/>
    </xf>
    <xf numFmtId="0" fontId="68" fillId="0" borderId="40" xfId="0" applyFont="1" applyBorder="1" applyAlignment="1" applyProtection="1">
      <alignment horizontal="left" vertical="center" wrapText="1"/>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FF9999"/>
      <color rgb="FF9BC2E6"/>
      <color rgb="FF81B0E4"/>
      <color rgb="FFFF0000"/>
      <color rgb="FF967D00"/>
      <color rgb="FFFF66CC"/>
      <color rgb="FF91C6F7"/>
      <color rgb="FF00FF00"/>
      <color rgb="FF0737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microsoft.com/office/2011/relationships/chartStyle" Target="style30.xml"/><Relationship Id="rId2" Type="http://schemas.microsoft.com/office/2011/relationships/chartColorStyle" Target="colors30.xml"/><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3" Type="http://schemas.microsoft.com/office/2011/relationships/chartStyle" Target="style31.xml"/><Relationship Id="rId2" Type="http://schemas.microsoft.com/office/2011/relationships/chartColorStyle" Target="colors31.xml"/><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3" Type="http://schemas.microsoft.com/office/2011/relationships/chartStyle" Target="style32.xml"/><Relationship Id="rId2" Type="http://schemas.microsoft.com/office/2011/relationships/chartColorStyle" Target="colors32.xml"/><Relationship Id="rId1" Type="http://schemas.openxmlformats.org/officeDocument/2006/relationships/themeOverride" Target="../theme/themeOverride24.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microsoft.com/office/2011/relationships/chartStyle" Target="style35.xml"/><Relationship Id="rId2" Type="http://schemas.microsoft.com/office/2011/relationships/chartColorStyle" Target="colors35.xml"/><Relationship Id="rId1" Type="http://schemas.openxmlformats.org/officeDocument/2006/relationships/themeOverride" Target="../theme/themeOverride25.xml"/></Relationships>
</file>

<file path=xl/charts/_rels/chart36.xml.rels><?xml version="1.0" encoding="UTF-8" standalone="yes"?>
<Relationships xmlns="http://schemas.openxmlformats.org/package/2006/relationships"><Relationship Id="rId3" Type="http://schemas.microsoft.com/office/2011/relationships/chartStyle" Target="style36.xml"/><Relationship Id="rId2" Type="http://schemas.microsoft.com/office/2011/relationships/chartColorStyle" Target="colors36.xml"/><Relationship Id="rId1" Type="http://schemas.openxmlformats.org/officeDocument/2006/relationships/themeOverride" Target="../theme/themeOverride26.xml"/></Relationships>
</file>

<file path=xl/charts/_rels/chart37.xml.rels><?xml version="1.0" encoding="UTF-8" standalone="yes"?>
<Relationships xmlns="http://schemas.openxmlformats.org/package/2006/relationships"><Relationship Id="rId3" Type="http://schemas.microsoft.com/office/2011/relationships/chartStyle" Target="style37.xml"/><Relationship Id="rId2" Type="http://schemas.microsoft.com/office/2011/relationships/chartColorStyle" Target="colors37.xml"/><Relationship Id="rId1" Type="http://schemas.openxmlformats.org/officeDocument/2006/relationships/themeOverride" Target="../theme/themeOverride27.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0674688"/>
        <c:axId val="130676224"/>
      </c:scatterChart>
      <c:valAx>
        <c:axId val="130674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0676224"/>
        <c:crosses val="autoZero"/>
        <c:crossBetween val="midCat"/>
      </c:valAx>
      <c:valAx>
        <c:axId val="130676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0674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4083200"/>
        <c:axId val="184084736"/>
      </c:scatterChart>
      <c:valAx>
        <c:axId val="184083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084736"/>
        <c:crosses val="autoZero"/>
        <c:crossBetween val="midCat"/>
      </c:valAx>
      <c:valAx>
        <c:axId val="184084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083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4205312"/>
        <c:axId val="184206848"/>
      </c:scatterChart>
      <c:valAx>
        <c:axId val="184205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206848"/>
        <c:crosses val="autoZero"/>
        <c:crossBetween val="midCat"/>
      </c:valAx>
      <c:valAx>
        <c:axId val="184206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205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4257536"/>
        <c:axId val="184267520"/>
      </c:scatterChart>
      <c:valAx>
        <c:axId val="184257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267520"/>
        <c:crosses val="autoZero"/>
        <c:crossBetween val="midCat"/>
      </c:valAx>
      <c:valAx>
        <c:axId val="18426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257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4326400"/>
        <c:axId val="184336384"/>
      </c:scatterChart>
      <c:valAx>
        <c:axId val="18432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336384"/>
        <c:crosses val="autoZero"/>
        <c:crossBetween val="midCat"/>
      </c:valAx>
      <c:valAx>
        <c:axId val="184336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32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3514624"/>
        <c:axId val="183516160"/>
      </c:scatterChart>
      <c:valAx>
        <c:axId val="183514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516160"/>
        <c:crosses val="autoZero"/>
        <c:crossBetween val="midCat"/>
      </c:valAx>
      <c:valAx>
        <c:axId val="183516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514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3571200"/>
        <c:axId val="183572736"/>
      </c:scatterChart>
      <c:valAx>
        <c:axId val="183571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572736"/>
        <c:crosses val="autoZero"/>
        <c:crossBetween val="midCat"/>
      </c:valAx>
      <c:valAx>
        <c:axId val="183572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571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3623680"/>
        <c:axId val="183625216"/>
      </c:scatterChart>
      <c:valAx>
        <c:axId val="183623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625216"/>
        <c:crosses val="autoZero"/>
        <c:crossBetween val="midCat"/>
      </c:valAx>
      <c:valAx>
        <c:axId val="183625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623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3663616"/>
        <c:axId val="183665408"/>
      </c:scatterChart>
      <c:valAx>
        <c:axId val="1836636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665408"/>
        <c:crosses val="autoZero"/>
        <c:crossBetween val="midCat"/>
      </c:valAx>
      <c:valAx>
        <c:axId val="183665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6636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6614144"/>
        <c:axId val="186615680"/>
      </c:scatterChart>
      <c:valAx>
        <c:axId val="186614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15680"/>
        <c:crosses val="autoZero"/>
        <c:crossBetween val="midCat"/>
      </c:valAx>
      <c:valAx>
        <c:axId val="186615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14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6715520"/>
        <c:axId val="186721408"/>
      </c:scatterChart>
      <c:valAx>
        <c:axId val="186715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721408"/>
        <c:crosses val="autoZero"/>
        <c:crossBetween val="midCat"/>
      </c:valAx>
      <c:valAx>
        <c:axId val="18672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715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8694400"/>
        <c:axId val="158704384"/>
      </c:scatterChart>
      <c:valAx>
        <c:axId val="158694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8704384"/>
        <c:crosses val="autoZero"/>
        <c:crossBetween val="midCat"/>
      </c:valAx>
      <c:valAx>
        <c:axId val="158704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8694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6768000"/>
        <c:axId val="186794368"/>
      </c:scatterChart>
      <c:valAx>
        <c:axId val="18676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794368"/>
        <c:crosses val="autoZero"/>
        <c:crossBetween val="midCat"/>
      </c:valAx>
      <c:valAx>
        <c:axId val="186794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76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6828288"/>
        <c:axId val="186829824"/>
      </c:scatterChart>
      <c:valAx>
        <c:axId val="186828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829824"/>
        <c:crosses val="autoZero"/>
        <c:crossBetween val="midCat"/>
      </c:valAx>
      <c:valAx>
        <c:axId val="186829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828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011840"/>
        <c:axId val="187013376"/>
      </c:scatterChart>
      <c:valAx>
        <c:axId val="1870118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13376"/>
        <c:crosses val="autoZero"/>
        <c:crossBetween val="midCat"/>
      </c:valAx>
      <c:valAx>
        <c:axId val="187013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118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@'!$C$8:$C$12</c:f>
              <c:numCache>
                <c:formatCode>0.000</c:formatCode>
                <c:ptCount val="5"/>
                <c:pt idx="0">
                  <c:v>#N/A</c:v>
                </c:pt>
                <c:pt idx="1">
                  <c:v>#N/A</c:v>
                </c:pt>
                <c:pt idx="2">
                  <c:v>#N/A</c:v>
                </c:pt>
                <c:pt idx="3">
                  <c:v>#N/A</c:v>
                </c:pt>
                <c:pt idx="4">
                  <c:v>#N/A</c:v>
                </c:pt>
              </c:numCache>
            </c:numRef>
          </c:xVal>
          <c:yVal>
            <c:numRef>
              <c:f>'Despues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7820288"/>
        <c:axId val="187502592"/>
      </c:scatterChart>
      <c:valAx>
        <c:axId val="187820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02592"/>
        <c:crosses val="autoZero"/>
        <c:crossBetween val="midCat"/>
      </c:valAx>
      <c:valAx>
        <c:axId val="1875025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20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@'!$C$13:$C$17</c:f>
              <c:numCache>
                <c:formatCode>0.000</c:formatCode>
                <c:ptCount val="5"/>
                <c:pt idx="0">
                  <c:v>#N/A</c:v>
                </c:pt>
                <c:pt idx="1">
                  <c:v>#N/A</c:v>
                </c:pt>
                <c:pt idx="2">
                  <c:v>#N/A</c:v>
                </c:pt>
                <c:pt idx="3">
                  <c:v>#N/A</c:v>
                </c:pt>
                <c:pt idx="4">
                  <c:v>#N/A</c:v>
                </c:pt>
              </c:numCache>
            </c:numRef>
          </c:xVal>
          <c:yVal>
            <c:numRef>
              <c:f>'Despues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7536896"/>
        <c:axId val="187538432"/>
      </c:scatterChart>
      <c:valAx>
        <c:axId val="187536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8432"/>
        <c:crosses val="autoZero"/>
        <c:crossBetween val="midCat"/>
      </c:valAx>
      <c:valAx>
        <c:axId val="187538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6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588992"/>
        <c:axId val="187590528"/>
      </c:scatterChart>
      <c:valAx>
        <c:axId val="1875889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90528"/>
        <c:crosses val="autoZero"/>
        <c:crossBetween val="midCat"/>
      </c:valAx>
      <c:valAx>
        <c:axId val="187590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889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108160"/>
        <c:axId val="188114048"/>
      </c:scatterChart>
      <c:valAx>
        <c:axId val="1881081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14048"/>
        <c:crosses val="autoZero"/>
        <c:crossBetween val="midCat"/>
      </c:valAx>
      <c:valAx>
        <c:axId val="188114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081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8152448"/>
        <c:axId val="187711872"/>
      </c:scatterChart>
      <c:valAx>
        <c:axId val="188152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711872"/>
        <c:crosses val="autoZero"/>
        <c:crossBetween val="midCat"/>
      </c:valAx>
      <c:valAx>
        <c:axId val="1877118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52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30733568"/>
        <c:axId val="130735104"/>
      </c:scatterChart>
      <c:valAx>
        <c:axId val="130733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0735104"/>
        <c:crosses val="autoZero"/>
        <c:crossBetween val="midCat"/>
      </c:valAx>
      <c:valAx>
        <c:axId val="130735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0733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87933440"/>
        <c:axId val="187934976"/>
      </c:scatterChart>
      <c:valAx>
        <c:axId val="187933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934976"/>
        <c:crosses val="autoZero"/>
        <c:crossBetween val="midCat"/>
      </c:valAx>
      <c:valAx>
        <c:axId val="187934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933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3707904"/>
        <c:axId val="183726080"/>
      </c:scatterChart>
      <c:valAx>
        <c:axId val="1837079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726080"/>
        <c:crosses val="autoZero"/>
        <c:crossBetween val="midCat"/>
      </c:valAx>
      <c:valAx>
        <c:axId val="183726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7079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88002304"/>
        <c:axId val="188003840"/>
      </c:scatterChart>
      <c:valAx>
        <c:axId val="188002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03840"/>
        <c:crosses val="autoZero"/>
        <c:crossBetween val="midCat"/>
      </c:valAx>
      <c:valAx>
        <c:axId val="188003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02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88304384"/>
        <c:axId val="188314368"/>
      </c:scatterChart>
      <c:valAx>
        <c:axId val="188304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14368"/>
        <c:crosses val="autoZero"/>
        <c:crossBetween val="midCat"/>
      </c:valAx>
      <c:valAx>
        <c:axId val="188314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04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88684544"/>
        <c:axId val="188694528"/>
      </c:scatterChart>
      <c:valAx>
        <c:axId val="188684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694528"/>
        <c:crosses val="autoZero"/>
        <c:crossBetween val="midCat"/>
      </c:valAx>
      <c:valAx>
        <c:axId val="188694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684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88475264"/>
        <c:axId val="188476416"/>
      </c:scatterChart>
      <c:valAx>
        <c:axId val="1884752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476416"/>
        <c:crosses val="autoZero"/>
        <c:crossBetween val="midCat"/>
      </c:valAx>
      <c:valAx>
        <c:axId val="188476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4752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88519168"/>
        <c:axId val="188520704"/>
      </c:scatterChart>
      <c:valAx>
        <c:axId val="188519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20704"/>
        <c:crosses val="autoZero"/>
        <c:crossBetween val="midCat"/>
      </c:valAx>
      <c:valAx>
        <c:axId val="188520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19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88592128"/>
        <c:axId val="188593664"/>
      </c:scatterChart>
      <c:valAx>
        <c:axId val="188592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93664"/>
        <c:crosses val="autoZero"/>
        <c:crossBetween val="midCat"/>
      </c:valAx>
      <c:valAx>
        <c:axId val="188593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92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88767232"/>
        <c:axId val="188777216"/>
      </c:scatterChart>
      <c:valAx>
        <c:axId val="188767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777216"/>
        <c:crosses val="autoZero"/>
        <c:crossBetween val="midCat"/>
      </c:valAx>
      <c:valAx>
        <c:axId val="188777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767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88885248"/>
        <c:axId val="188895232"/>
      </c:scatterChart>
      <c:valAx>
        <c:axId val="188885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895232"/>
        <c:crosses val="autoZero"/>
        <c:crossBetween val="midCat"/>
      </c:valAx>
      <c:valAx>
        <c:axId val="1888952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885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3760384"/>
        <c:axId val="183761920"/>
      </c:scatterChart>
      <c:valAx>
        <c:axId val="18376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761920"/>
        <c:crosses val="autoZero"/>
        <c:crossBetween val="midCat"/>
      </c:valAx>
      <c:valAx>
        <c:axId val="18376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76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3818496"/>
        <c:axId val="183824384"/>
      </c:scatterChart>
      <c:valAx>
        <c:axId val="1838184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824384"/>
        <c:crosses val="autoZero"/>
        <c:crossBetween val="midCat"/>
      </c:valAx>
      <c:valAx>
        <c:axId val="183824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8184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3875456"/>
        <c:axId val="183876992"/>
      </c:scatterChart>
      <c:valAx>
        <c:axId val="183875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876992"/>
        <c:crosses val="autoZero"/>
        <c:crossBetween val="midCat"/>
      </c:valAx>
      <c:valAx>
        <c:axId val="183876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875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3927936"/>
        <c:axId val="183929472"/>
      </c:scatterChart>
      <c:valAx>
        <c:axId val="183927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929472"/>
        <c:crosses val="autoZero"/>
        <c:crossBetween val="midCat"/>
      </c:valAx>
      <c:valAx>
        <c:axId val="1839294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3927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4109312"/>
        <c:axId val="184127488"/>
      </c:scatterChart>
      <c:valAx>
        <c:axId val="184109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127488"/>
        <c:crosses val="autoZero"/>
        <c:crossBetween val="midCat"/>
      </c:valAx>
      <c:valAx>
        <c:axId val="184127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109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4039296"/>
        <c:axId val="184040448"/>
      </c:scatterChart>
      <c:valAx>
        <c:axId val="1840392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040448"/>
        <c:crosses val="autoZero"/>
        <c:crossBetween val="midCat"/>
      </c:valAx>
      <c:valAx>
        <c:axId val="184040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40392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image" Target="file:///\\Abeltran\publico\Logo%20completo.gif" TargetMode="External"/><Relationship Id="rId16" Type="http://schemas.openxmlformats.org/officeDocument/2006/relationships/chart" Target="../charts/chart36.xml"/><Relationship Id="rId1" Type="http://schemas.openxmlformats.org/officeDocument/2006/relationships/image" Target="../media/image1.png"/><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477250</xdr:colOff>
      <xdr:row>0</xdr:row>
      <xdr:rowOff>38968</xdr:rowOff>
    </xdr:from>
    <xdr:to>
      <xdr:col>3</xdr:col>
      <xdr:colOff>1348477</xdr:colOff>
      <xdr:row>0</xdr:row>
      <xdr:rowOff>874315</xdr:rowOff>
    </xdr:to>
    <xdr:pic>
      <xdr:nvPicPr>
        <xdr:cNvPr id="2" name="Picture 50" descr="\\Abeltran\publico\Logo completo.gif">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572750" y="38968"/>
          <a:ext cx="1918977"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100-00002C000000}"/>
            </a:ext>
          </a:extLst>
        </xdr:cNvPr>
        <xdr:cNvSpPr/>
      </xdr:nvSpPr>
      <xdr:spPr>
        <a:xfrm>
          <a:off x="733766" y="19270776"/>
          <a:ext cx="16242722"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3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3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3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3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3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3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3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3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3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3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3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3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3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3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3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3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xmlns=""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twoCellAnchor>
    <xdr:from>
      <xdr:col>0</xdr:col>
      <xdr:colOff>600076</xdr:colOff>
      <xdr:row>0</xdr:row>
      <xdr:rowOff>52197</xdr:rowOff>
    </xdr:from>
    <xdr:to>
      <xdr:col>2</xdr:col>
      <xdr:colOff>297656</xdr:colOff>
      <xdr:row>0</xdr:row>
      <xdr:rowOff>892968</xdr:rowOff>
    </xdr:to>
    <xdr:pic>
      <xdr:nvPicPr>
        <xdr:cNvPr id="59"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xmlns=""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xmlns=""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xmlns=""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xmlns=""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a16="http://schemas.microsoft.com/office/drawing/2014/main" xmlns="" id="{00000000-0008-0000-01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xmlns=""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xmlns="" id="{00000000-0008-0000-01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xmlns="" id="{00000000-0008-0000-01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xmlns="" id="{00000000-0008-0000-01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xmlns="" id="{00000000-0008-0000-01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xmlns="" id="{00000000-0008-0000-01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xmlns="" id="{00000000-0008-0000-01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xmlns="" id="{00000000-0008-0000-01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xmlns="" id="{00000000-0008-0000-01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xmlns="" id="{00000000-0008-0000-01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xmlns="" id="{00000000-0008-0000-01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xmlns="" id="{00000000-0008-0000-01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xmlns="" id="{00000000-0008-0000-01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xmlns="" id="{00000000-0008-0000-01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xmlns=""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xmlns=""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xmlns=""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600076</xdr:colOff>
      <xdr:row>0</xdr:row>
      <xdr:rowOff>52197</xdr:rowOff>
    </xdr:from>
    <xdr:to>
      <xdr:col>2</xdr:col>
      <xdr:colOff>297656</xdr:colOff>
      <xdr:row>0</xdr:row>
      <xdr:rowOff>892968</xdr:rowOff>
    </xdr:to>
    <xdr:pic>
      <xdr:nvPicPr>
        <xdr:cNvPr id="115"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xmlns=""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xmlns=""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xmlns=""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xmlns=""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a16="http://schemas.microsoft.com/office/drawing/2014/main" xmlns="" id="{00000000-0008-0000-0100-00001E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xmlns=""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xmlns="" id="{00000000-0008-0000-0100-000020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xmlns="" id="{00000000-0008-0000-0100-000021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xmlns="" id="{00000000-0008-0000-0100-000022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xmlns="" id="{00000000-0008-0000-0100-000023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xmlns="" id="{00000000-0008-0000-0100-000024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xmlns="" id="{00000000-0008-0000-0100-000025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xmlns="" id="{00000000-0008-0000-0100-000026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xmlns="" id="{00000000-0008-0000-0100-000027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xmlns="" id="{00000000-0008-0000-0100-000028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xmlns="" id="{00000000-0008-0000-0100-000029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xmlns="" id="{00000000-0008-0000-0100-00002A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xmlns="" id="{00000000-0008-0000-0100-00002B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xmlns="" id="{00000000-0008-0000-0100-00002C000000}"/>
            </a:ext>
          </a:extLst>
        </xdr:cNvPr>
        <xdr:cNvSpPr/>
      </xdr:nvSpPr>
      <xdr:spPr>
        <a:xfrm>
          <a:off x="714716" y="20737626"/>
          <a:ext cx="17261897"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xmlns=""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xmlns=""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866684"/>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8776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31417"/>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784189"/>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00049" y="182907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7642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02400"/>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2627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193000"/>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382362" y="163381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16408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390525" y="206501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11291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S166" sqref="S166"/>
    </sheetView>
  </sheetViews>
  <sheetFormatPr baseColWidth="10" defaultColWidth="15.7109375" defaultRowHeight="35.1" customHeight="1" x14ac:dyDescent="0.2"/>
  <cols>
    <col min="1" max="3" width="15.7109375" style="148"/>
    <col min="4" max="4" width="23.7109375" style="148" bestFit="1" customWidth="1"/>
    <col min="5" max="6" width="19.140625" style="148" customWidth="1"/>
    <col min="7" max="7" width="23.140625" style="148" customWidth="1"/>
    <col min="8" max="8" width="15.7109375" style="148"/>
    <col min="9" max="9" width="17.140625" style="148" customWidth="1"/>
    <col min="10" max="10" width="16.5703125" style="148" customWidth="1"/>
    <col min="11" max="11" width="19.7109375" style="148" customWidth="1"/>
    <col min="12" max="12" width="18.5703125" style="148" customWidth="1"/>
    <col min="13" max="13" width="20.140625" style="148" customWidth="1"/>
    <col min="14" max="14" width="23.42578125" style="148" bestFit="1" customWidth="1"/>
    <col min="15" max="15" width="19.85546875" style="148" customWidth="1"/>
    <col min="16" max="16" width="16.5703125" style="148" customWidth="1"/>
    <col min="17" max="17" width="17.7109375" style="148" customWidth="1"/>
    <col min="18" max="18" width="18.7109375" style="148" customWidth="1"/>
    <col min="19" max="19" width="16.5703125" style="148" customWidth="1"/>
    <col min="20" max="20" width="17.140625" style="434" customWidth="1"/>
    <col min="21" max="21" width="27" style="434" customWidth="1"/>
    <col min="22" max="22" width="15.5703125" style="434" customWidth="1"/>
    <col min="23" max="23" width="18.7109375" style="434" bestFit="1" customWidth="1"/>
    <col min="24" max="24" width="15.85546875" style="434" customWidth="1"/>
    <col min="25" max="25" width="18.28515625" style="434" customWidth="1"/>
    <col min="26" max="28" width="16" style="434" customWidth="1"/>
    <col min="29" max="33" width="16" style="148" customWidth="1"/>
    <col min="34" max="40" width="20.7109375" style="148" customWidth="1"/>
    <col min="41" max="42" width="15.7109375" style="148"/>
    <col min="43" max="43" width="15.7109375" style="149"/>
    <col min="44" max="45" width="15.7109375" style="148"/>
    <col min="46" max="56" width="16" style="148" customWidth="1"/>
    <col min="57" max="58" width="16" style="148" bestFit="1" customWidth="1"/>
    <col min="59" max="16384" width="15.7109375" style="148"/>
  </cols>
  <sheetData>
    <row r="1" spans="1:94" ht="80.099999999999994" customHeight="1" thickBot="1" x14ac:dyDescent="0.25">
      <c r="A1" s="145"/>
      <c r="B1" s="145"/>
      <c r="C1" s="146"/>
      <c r="D1" s="147"/>
      <c r="E1" s="1333" t="s">
        <v>271</v>
      </c>
      <c r="F1" s="1334"/>
      <c r="G1" s="1334"/>
      <c r="H1" s="1334"/>
      <c r="I1" s="1334"/>
      <c r="J1" s="1334"/>
      <c r="K1" s="1334"/>
      <c r="L1" s="1334"/>
      <c r="M1" s="1334"/>
      <c r="N1" s="1334"/>
      <c r="O1" s="1334"/>
      <c r="P1" s="1334"/>
      <c r="Q1" s="1334"/>
      <c r="R1" s="1334"/>
      <c r="S1" s="1334"/>
      <c r="T1" s="1334"/>
      <c r="U1" s="1334"/>
      <c r="V1" s="1335"/>
      <c r="W1" s="436"/>
      <c r="X1" s="436"/>
      <c r="Y1" s="436"/>
      <c r="Z1" s="436"/>
      <c r="AA1" s="436"/>
      <c r="AB1" s="436"/>
      <c r="AC1" s="436"/>
      <c r="AD1" s="436"/>
      <c r="AG1" s="145"/>
      <c r="AH1" s="145"/>
      <c r="AI1" s="436"/>
      <c r="AJ1" s="436"/>
      <c r="AK1" s="436"/>
      <c r="AL1" s="436"/>
      <c r="AM1" s="436"/>
      <c r="AN1" s="436"/>
      <c r="AO1" s="436"/>
      <c r="AP1" s="436"/>
      <c r="AQ1" s="437"/>
      <c r="AR1" s="436"/>
      <c r="AS1" s="436"/>
      <c r="AT1" s="436"/>
      <c r="AU1" s="436"/>
      <c r="AW1" s="145"/>
      <c r="AX1" s="145"/>
      <c r="AY1" s="436"/>
      <c r="AZ1" s="436"/>
      <c r="BA1" s="436"/>
      <c r="BB1" s="436"/>
      <c r="BC1" s="436"/>
      <c r="BD1" s="436"/>
      <c r="BE1" s="436"/>
      <c r="BF1" s="436"/>
      <c r="BG1" s="436"/>
      <c r="BH1" s="436"/>
      <c r="BI1" s="436"/>
      <c r="BJ1" s="436"/>
      <c r="BK1" s="436"/>
      <c r="BL1" s="436"/>
      <c r="BM1" s="436"/>
    </row>
    <row r="2" spans="1:94" ht="35.1" customHeight="1" x14ac:dyDescent="0.2">
      <c r="C2" s="145"/>
      <c r="T2" s="148"/>
      <c r="U2" s="148"/>
      <c r="V2" s="148"/>
      <c r="W2" s="148"/>
      <c r="X2" s="148"/>
      <c r="Y2" s="148"/>
      <c r="Z2" s="148"/>
      <c r="AA2" s="148"/>
      <c r="AB2" s="148"/>
    </row>
    <row r="3" spans="1:94" ht="35.1" customHeight="1" x14ac:dyDescent="0.2">
      <c r="U3" s="148"/>
      <c r="V3" s="148"/>
      <c r="W3" s="148"/>
      <c r="X3" s="148"/>
      <c r="Y3" s="148"/>
      <c r="Z3" s="148"/>
      <c r="AA3" s="148"/>
      <c r="AB3" s="148"/>
      <c r="AH3" s="434"/>
      <c r="AI3" s="434"/>
      <c r="AJ3" s="434"/>
      <c r="AK3" s="434"/>
      <c r="AL3" s="434"/>
      <c r="AM3" s="434"/>
      <c r="AN3" s="434"/>
      <c r="AO3" s="434"/>
      <c r="AP3" s="434"/>
    </row>
    <row r="4" spans="1:94" ht="30" customHeight="1" thickBot="1" x14ac:dyDescent="0.25">
      <c r="U4" s="148"/>
      <c r="V4" s="148"/>
      <c r="W4" s="148"/>
      <c r="X4" s="148"/>
      <c r="Y4" s="148"/>
      <c r="Z4" s="148"/>
      <c r="AA4" s="148"/>
      <c r="AB4" s="148"/>
      <c r="AV4" s="145"/>
      <c r="BE4" s="145"/>
    </row>
    <row r="5" spans="1:94" ht="69.95" customHeight="1" thickBot="1" x14ac:dyDescent="0.25">
      <c r="D5" s="1192" t="s">
        <v>263</v>
      </c>
      <c r="E5" s="1346"/>
      <c r="F5" s="1346"/>
      <c r="G5" s="1346"/>
      <c r="H5" s="1346"/>
      <c r="I5" s="1346"/>
      <c r="J5" s="1346"/>
      <c r="K5" s="1346"/>
      <c r="L5" s="1346"/>
      <c r="M5" s="1346"/>
      <c r="N5" s="1193"/>
      <c r="U5" s="148"/>
      <c r="V5" s="148"/>
      <c r="W5" s="148"/>
      <c r="X5" s="148"/>
      <c r="Y5" s="148"/>
      <c r="Z5" s="148"/>
      <c r="AA5" s="148"/>
      <c r="AB5" s="148"/>
      <c r="AD5" s="438"/>
      <c r="AV5" s="145"/>
      <c r="BE5" s="150"/>
    </row>
    <row r="6" spans="1:94" ht="69.95" customHeight="1" thickBot="1" x14ac:dyDescent="0.3">
      <c r="D6" s="186" t="s">
        <v>208</v>
      </c>
      <c r="E6" s="187" t="s">
        <v>475</v>
      </c>
      <c r="F6" s="188" t="s">
        <v>170</v>
      </c>
      <c r="G6" s="188" t="s">
        <v>474</v>
      </c>
      <c r="H6" s="188"/>
      <c r="I6" s="188" t="s">
        <v>27</v>
      </c>
      <c r="J6" s="188" t="s">
        <v>477</v>
      </c>
      <c r="K6" s="189" t="s">
        <v>45</v>
      </c>
      <c r="L6" s="189" t="s">
        <v>411</v>
      </c>
      <c r="M6" s="185" t="s">
        <v>313</v>
      </c>
      <c r="N6" s="185" t="s">
        <v>264</v>
      </c>
      <c r="AV6" s="145"/>
      <c r="BE6" s="145"/>
      <c r="BY6" s="151"/>
    </row>
    <row r="7" spans="1:94" ht="30" customHeight="1" thickBot="1" x14ac:dyDescent="0.25">
      <c r="D7" s="439"/>
      <c r="E7" s="440"/>
      <c r="F7" s="440"/>
      <c r="G7" s="440"/>
      <c r="H7" s="190"/>
      <c r="I7" s="440"/>
      <c r="J7" s="440"/>
      <c r="K7" s="440"/>
      <c r="L7" s="440"/>
      <c r="M7" s="441"/>
      <c r="N7" s="442"/>
      <c r="P7" s="1227" t="s">
        <v>381</v>
      </c>
      <c r="Q7" s="1228"/>
      <c r="R7" s="1228"/>
      <c r="S7" s="1228"/>
      <c r="T7" s="1228"/>
      <c r="U7" s="1229"/>
      <c r="AV7" s="152"/>
      <c r="BE7" s="145"/>
    </row>
    <row r="8" spans="1:94" s="153" customFormat="1" ht="30" customHeight="1" thickBot="1" x14ac:dyDescent="0.25">
      <c r="B8" s="148"/>
      <c r="C8" s="148"/>
      <c r="D8" s="1002">
        <v>1</v>
      </c>
      <c r="E8" s="1001" t="s">
        <v>412</v>
      </c>
      <c r="F8" s="443"/>
      <c r="G8" s="327" t="s">
        <v>602</v>
      </c>
      <c r="H8" s="223"/>
      <c r="I8" s="443"/>
      <c r="J8" s="444" t="s">
        <v>609</v>
      </c>
      <c r="K8" s="445"/>
      <c r="L8" s="445"/>
      <c r="M8" s="444"/>
      <c r="N8" s="446" t="s">
        <v>608</v>
      </c>
      <c r="P8" s="1000" t="s">
        <v>208</v>
      </c>
      <c r="Q8" s="1338" t="s">
        <v>382</v>
      </c>
      <c r="R8" s="1339"/>
      <c r="S8" s="1339"/>
      <c r="T8" s="1339"/>
      <c r="U8" s="1340"/>
      <c r="AI8" s="148"/>
      <c r="AJ8" s="148"/>
      <c r="AV8" s="152"/>
      <c r="BE8" s="152"/>
      <c r="BZ8" s="148"/>
      <c r="CA8" s="148"/>
      <c r="CB8" s="148"/>
      <c r="CC8" s="148"/>
      <c r="CD8" s="148"/>
      <c r="CE8" s="148"/>
      <c r="CF8" s="148"/>
      <c r="CG8" s="148"/>
      <c r="CH8" s="148"/>
      <c r="CI8" s="148"/>
      <c r="CJ8" s="148"/>
      <c r="CK8" s="148"/>
      <c r="CL8" s="148"/>
      <c r="CM8" s="148"/>
      <c r="CN8" s="148"/>
      <c r="CO8" s="148"/>
      <c r="CP8" s="148"/>
    </row>
    <row r="9" spans="1:94" s="153" customFormat="1" ht="30" customHeight="1" thickBot="1" x14ac:dyDescent="0.25">
      <c r="B9" s="148"/>
      <c r="C9" s="148"/>
      <c r="D9" s="447"/>
      <c r="E9" s="448"/>
      <c r="F9" s="449"/>
      <c r="G9" s="448"/>
      <c r="H9" s="191"/>
      <c r="I9" s="449"/>
      <c r="J9" s="448"/>
      <c r="K9" s="448"/>
      <c r="L9" s="448"/>
      <c r="M9" s="448"/>
      <c r="N9" s="192"/>
      <c r="P9" s="450"/>
      <c r="Q9" s="1344"/>
      <c r="R9" s="1345"/>
      <c r="S9" s="1341"/>
      <c r="T9" s="1342"/>
      <c r="U9" s="1343"/>
      <c r="AI9" s="148"/>
      <c r="AJ9" s="148"/>
      <c r="AV9" s="152"/>
      <c r="BE9" s="152"/>
      <c r="BZ9" s="148"/>
      <c r="CA9" s="148"/>
      <c r="CB9" s="148"/>
      <c r="CC9" s="148"/>
      <c r="CD9" s="148"/>
      <c r="CE9" s="148"/>
      <c r="CF9" s="148"/>
      <c r="CG9" s="148"/>
      <c r="CH9" s="148"/>
      <c r="CI9" s="148"/>
      <c r="CJ9" s="148"/>
      <c r="CK9" s="148"/>
      <c r="CL9" s="148"/>
      <c r="CM9" s="148"/>
      <c r="CN9" s="148"/>
      <c r="CO9" s="148"/>
      <c r="CP9" s="148"/>
    </row>
    <row r="10" spans="1:94" s="153" customFormat="1" ht="30" customHeight="1" thickBot="1" x14ac:dyDescent="0.25">
      <c r="B10" s="148"/>
      <c r="C10" s="148"/>
      <c r="D10" s="451"/>
      <c r="E10" s="165"/>
      <c r="F10" s="452"/>
      <c r="G10" s="165"/>
      <c r="H10" s="452"/>
      <c r="I10" s="451"/>
      <c r="J10" s="451"/>
      <c r="K10" s="451"/>
      <c r="L10" s="451"/>
      <c r="M10" s="148"/>
      <c r="N10" s="148"/>
      <c r="O10" s="148"/>
      <c r="P10" s="925" t="s">
        <v>489</v>
      </c>
      <c r="Q10" s="455" t="s">
        <v>543</v>
      </c>
      <c r="R10" s="455"/>
      <c r="S10" s="455" t="s">
        <v>541</v>
      </c>
      <c r="T10" s="454"/>
      <c r="U10" s="456" t="s">
        <v>332</v>
      </c>
      <c r="W10" s="148"/>
      <c r="X10" s="148"/>
      <c r="AI10" s="148"/>
      <c r="AJ10" s="148"/>
      <c r="AV10" s="152"/>
      <c r="BE10" s="152"/>
      <c r="BZ10" s="148"/>
      <c r="CA10" s="148"/>
      <c r="CB10" s="148"/>
      <c r="CC10" s="148"/>
      <c r="CD10" s="148"/>
      <c r="CE10" s="148"/>
      <c r="CF10" s="148"/>
      <c r="CG10" s="148"/>
      <c r="CH10" s="148"/>
      <c r="CI10" s="148"/>
      <c r="CJ10" s="148"/>
      <c r="CK10" s="148"/>
      <c r="CL10" s="148"/>
      <c r="CM10" s="148"/>
      <c r="CN10" s="148"/>
      <c r="CO10" s="148"/>
      <c r="CP10" s="148"/>
    </row>
    <row r="11" spans="1:94" s="153" customFormat="1" ht="30" customHeight="1" x14ac:dyDescent="0.2">
      <c r="B11" s="1347" t="s">
        <v>341</v>
      </c>
      <c r="C11" s="1348"/>
      <c r="D11" s="1348"/>
      <c r="E11" s="1348"/>
      <c r="F11" s="1348"/>
      <c r="G11" s="1348"/>
      <c r="H11" s="1348"/>
      <c r="I11" s="1348"/>
      <c r="J11" s="1348"/>
      <c r="K11" s="1348"/>
      <c r="L11" s="1348"/>
      <c r="M11" s="1348"/>
      <c r="N11" s="1349"/>
      <c r="O11" s="148"/>
      <c r="P11" s="226" t="s">
        <v>261</v>
      </c>
      <c r="Q11" s="453" t="s">
        <v>153</v>
      </c>
      <c r="R11" s="454"/>
      <c r="S11" s="455" t="s">
        <v>542</v>
      </c>
      <c r="T11" s="454"/>
      <c r="U11" s="456" t="s">
        <v>332</v>
      </c>
      <c r="W11" s="148"/>
      <c r="X11" s="148"/>
      <c r="AI11" s="148"/>
      <c r="AJ11" s="148"/>
      <c r="AV11" s="152"/>
      <c r="BE11" s="152"/>
      <c r="BZ11" s="148"/>
      <c r="CA11" s="148"/>
      <c r="CB11" s="148"/>
      <c r="CC11" s="148"/>
      <c r="CD11" s="148"/>
      <c r="CE11" s="148"/>
      <c r="CF11" s="148"/>
      <c r="CG11" s="148"/>
      <c r="CH11" s="148"/>
      <c r="CI11" s="148"/>
      <c r="CJ11" s="148"/>
      <c r="CK11" s="148"/>
      <c r="CL11" s="148"/>
      <c r="CM11" s="148"/>
      <c r="CN11" s="148"/>
      <c r="CO11" s="148"/>
      <c r="CP11" s="148"/>
    </row>
    <row r="12" spans="1:94" s="153" customFormat="1" ht="30" customHeight="1" thickBot="1" x14ac:dyDescent="0.25">
      <c r="B12" s="1350"/>
      <c r="C12" s="1351"/>
      <c r="D12" s="1351"/>
      <c r="E12" s="1351"/>
      <c r="F12" s="1351"/>
      <c r="G12" s="1351"/>
      <c r="H12" s="1351"/>
      <c r="I12" s="1351"/>
      <c r="J12" s="1351"/>
      <c r="K12" s="1351"/>
      <c r="L12" s="1351"/>
      <c r="M12" s="1351"/>
      <c r="N12" s="1352"/>
      <c r="O12" s="148"/>
      <c r="P12" s="227" t="s">
        <v>262</v>
      </c>
      <c r="Q12" s="457" t="s">
        <v>214</v>
      </c>
      <c r="R12" s="458"/>
      <c r="S12" s="926" t="s">
        <v>541</v>
      </c>
      <c r="T12" s="458"/>
      <c r="U12" s="927" t="s">
        <v>332</v>
      </c>
      <c r="W12" s="148"/>
      <c r="X12" s="148"/>
      <c r="Y12" s="152"/>
      <c r="AI12" s="148"/>
      <c r="AJ12" s="148"/>
      <c r="AV12" s="145"/>
      <c r="BE12" s="152"/>
      <c r="BZ12" s="148"/>
      <c r="CA12" s="148"/>
      <c r="CB12" s="148"/>
      <c r="CC12" s="148"/>
      <c r="CD12" s="148"/>
      <c r="CE12" s="148"/>
      <c r="CF12" s="148"/>
      <c r="CG12" s="148"/>
      <c r="CH12" s="148"/>
      <c r="CI12" s="148"/>
      <c r="CJ12" s="148"/>
      <c r="CK12" s="148"/>
      <c r="CL12" s="148"/>
      <c r="CM12" s="148"/>
      <c r="CN12" s="148"/>
      <c r="CO12" s="148"/>
      <c r="CP12" s="148"/>
    </row>
    <row r="13" spans="1:94" ht="97.5" customHeight="1" thickBot="1" x14ac:dyDescent="0.25">
      <c r="B13" s="459" t="s">
        <v>208</v>
      </c>
      <c r="C13" s="460" t="s">
        <v>37</v>
      </c>
      <c r="D13" s="460" t="s">
        <v>38</v>
      </c>
      <c r="E13" s="460" t="s">
        <v>178</v>
      </c>
      <c r="F13" s="460" t="s">
        <v>547</v>
      </c>
      <c r="G13" s="460" t="s">
        <v>546</v>
      </c>
      <c r="H13" s="461" t="s">
        <v>211</v>
      </c>
      <c r="I13" s="460" t="s">
        <v>212</v>
      </c>
      <c r="J13" s="461" t="s">
        <v>548</v>
      </c>
      <c r="K13" s="460" t="s">
        <v>209</v>
      </c>
      <c r="L13" s="460" t="s">
        <v>213</v>
      </c>
      <c r="M13" s="460" t="s">
        <v>503</v>
      </c>
      <c r="N13" s="460" t="s">
        <v>264</v>
      </c>
      <c r="O13" s="434"/>
      <c r="P13" s="434"/>
      <c r="Q13" s="434"/>
      <c r="R13" s="434"/>
      <c r="S13" s="434"/>
      <c r="W13" s="148"/>
      <c r="X13" s="148"/>
      <c r="Y13" s="153"/>
      <c r="AV13" s="145"/>
      <c r="BE13" s="145"/>
    </row>
    <row r="14" spans="1:94" ht="30" customHeight="1" thickBot="1" x14ac:dyDescent="0.25">
      <c r="B14" s="439"/>
      <c r="C14" s="462"/>
      <c r="D14" s="462"/>
      <c r="E14" s="462"/>
      <c r="F14" s="462"/>
      <c r="G14" s="462"/>
      <c r="H14" s="463" t="s">
        <v>481</v>
      </c>
      <c r="I14" s="462"/>
      <c r="J14" s="464">
        <v>316</v>
      </c>
      <c r="K14" s="462"/>
      <c r="L14" s="462"/>
      <c r="M14" s="462"/>
      <c r="N14" s="465"/>
      <c r="O14" s="434"/>
      <c r="P14" s="434"/>
      <c r="Q14" s="466"/>
      <c r="R14" s="466"/>
      <c r="S14" s="438"/>
      <c r="T14" s="1332"/>
      <c r="U14" s="1332"/>
      <c r="V14" s="1332"/>
      <c r="W14" s="148"/>
      <c r="X14" s="148"/>
      <c r="Y14" s="148"/>
      <c r="AV14" s="145"/>
      <c r="BE14" s="145"/>
    </row>
    <row r="15" spans="1:94" ht="30" customHeight="1" thickBot="1" x14ac:dyDescent="0.25">
      <c r="B15" s="226">
        <v>1</v>
      </c>
      <c r="C15" s="467"/>
      <c r="D15" s="468"/>
      <c r="E15" s="469"/>
      <c r="F15" s="470">
        <v>20</v>
      </c>
      <c r="G15" s="470" t="s">
        <v>413</v>
      </c>
      <c r="H15" s="316">
        <f>VLOOKUP(H14,'DATOS @'!AC114:AF118,4,FALSE)</f>
        <v>8.1935299999999991</v>
      </c>
      <c r="I15" s="316">
        <f>H15</f>
        <v>8.1935299999999991</v>
      </c>
      <c r="J15" s="471">
        <f>VLOOKUP(J14,'DATOS @'!AH114:AI117,2,FALSE)</f>
        <v>4.7700000000000001E-5</v>
      </c>
      <c r="K15" s="472" t="e">
        <f>AVERAGE(K17:K19)</f>
        <v>#DIV/0!</v>
      </c>
      <c r="L15" s="138">
        <v>5.0000000000000001E-3</v>
      </c>
      <c r="M15" s="471">
        <v>9.9000000000000001E-6</v>
      </c>
      <c r="N15" s="473" t="str">
        <f>N8</f>
        <v>LCV-XXX-XX</v>
      </c>
      <c r="P15" s="434"/>
      <c r="Q15" s="434"/>
      <c r="R15" s="434"/>
      <c r="T15" s="145"/>
      <c r="Y15" s="148"/>
      <c r="AV15" s="145"/>
      <c r="BE15" s="145"/>
    </row>
    <row r="16" spans="1:94" ht="30" customHeight="1" thickBot="1" x14ac:dyDescent="0.25">
      <c r="B16" s="447"/>
      <c r="C16" s="448"/>
      <c r="D16" s="448"/>
      <c r="E16" s="448"/>
      <c r="F16" s="448"/>
      <c r="G16" s="448"/>
      <c r="H16" s="448"/>
      <c r="I16" s="448"/>
      <c r="J16" s="474"/>
      <c r="K16" s="475" t="s">
        <v>347</v>
      </c>
      <c r="L16" s="476"/>
      <c r="M16" s="448"/>
      <c r="N16" s="477"/>
      <c r="O16" s="170"/>
      <c r="P16" s="434"/>
      <c r="Q16" s="434"/>
      <c r="R16" s="434"/>
      <c r="T16" s="145"/>
      <c r="Y16" s="148"/>
      <c r="AV16" s="145"/>
      <c r="BE16" s="145"/>
    </row>
    <row r="17" spans="1:58" ht="30" customHeight="1" x14ac:dyDescent="0.2">
      <c r="B17" s="145"/>
      <c r="C17" s="145"/>
      <c r="D17" s="451"/>
      <c r="E17" s="165"/>
      <c r="F17" s="478"/>
      <c r="G17" s="165"/>
      <c r="H17" s="478"/>
      <c r="I17" s="165"/>
      <c r="J17" s="165"/>
      <c r="K17" s="479"/>
      <c r="L17" s="165"/>
      <c r="O17" s="434"/>
      <c r="P17" s="434"/>
      <c r="Q17" s="434"/>
      <c r="R17" s="434"/>
      <c r="T17" s="145"/>
      <c r="AV17" s="145"/>
      <c r="BE17" s="145"/>
    </row>
    <row r="18" spans="1:58" ht="30" customHeight="1" x14ac:dyDescent="0.2">
      <c r="B18" s="145"/>
      <c r="C18" s="145"/>
      <c r="D18" s="451"/>
      <c r="E18" s="165"/>
      <c r="F18" s="478"/>
      <c r="G18" s="165"/>
      <c r="H18" s="478"/>
      <c r="I18" s="165"/>
      <c r="J18" s="165"/>
      <c r="K18" s="480"/>
      <c r="L18" s="165"/>
      <c r="O18" s="434"/>
      <c r="P18" s="434"/>
      <c r="Q18" s="434"/>
      <c r="R18" s="434"/>
      <c r="T18" s="145"/>
      <c r="AV18" s="145"/>
      <c r="BE18" s="145"/>
    </row>
    <row r="19" spans="1:58" ht="30" customHeight="1" thickBot="1" x14ac:dyDescent="0.25">
      <c r="B19" s="145"/>
      <c r="C19" s="145"/>
      <c r="D19" s="451"/>
      <c r="E19" s="165"/>
      <c r="F19" s="478"/>
      <c r="G19" s="165"/>
      <c r="H19" s="478"/>
      <c r="I19" s="165"/>
      <c r="J19" s="165"/>
      <c r="K19" s="481"/>
      <c r="L19" s="165"/>
      <c r="O19" s="434"/>
      <c r="P19" s="434"/>
      <c r="Q19" s="434"/>
      <c r="R19" s="434"/>
      <c r="T19" s="145"/>
      <c r="AV19" s="145"/>
      <c r="AW19" s="145"/>
      <c r="AX19" s="145"/>
      <c r="AY19" s="145"/>
      <c r="AZ19" s="145"/>
      <c r="BA19" s="145"/>
      <c r="BB19" s="145"/>
      <c r="BC19" s="145"/>
      <c r="BD19" s="145"/>
      <c r="BE19" s="145"/>
    </row>
    <row r="20" spans="1:58" ht="30" customHeight="1" thickBot="1" x14ac:dyDescent="0.25">
      <c r="A20" s="154"/>
      <c r="B20" s="155"/>
      <c r="C20" s="156"/>
      <c r="D20" s="2"/>
      <c r="E20" s="2"/>
      <c r="F20" s="157"/>
      <c r="G20" s="158"/>
      <c r="H20" s="158"/>
      <c r="I20" s="158"/>
      <c r="J20" s="158"/>
      <c r="K20" s="215"/>
      <c r="L20" s="158"/>
      <c r="M20" s="158"/>
      <c r="N20" s="158"/>
      <c r="O20" s="434"/>
      <c r="P20" s="434"/>
      <c r="Q20" s="434"/>
      <c r="R20" s="434"/>
      <c r="T20" s="145"/>
      <c r="AV20" s="145"/>
      <c r="AW20" s="145"/>
      <c r="AX20" s="145"/>
      <c r="AY20" s="145"/>
      <c r="AZ20" s="145"/>
      <c r="BA20" s="145"/>
      <c r="BB20" s="145"/>
      <c r="BC20" s="145"/>
      <c r="BD20" s="145"/>
      <c r="BE20" s="145"/>
    </row>
    <row r="21" spans="1:58" ht="30" customHeight="1" thickBot="1" x14ac:dyDescent="0.25">
      <c r="A21" s="159"/>
      <c r="B21" s="1227" t="s">
        <v>265</v>
      </c>
      <c r="C21" s="1228"/>
      <c r="D21" s="1228"/>
      <c r="E21" s="1228"/>
      <c r="F21" s="1228"/>
      <c r="G21" s="1228"/>
      <c r="H21" s="1228"/>
      <c r="I21" s="1228"/>
      <c r="J21" s="1228"/>
      <c r="K21" s="1228"/>
      <c r="L21" s="1228"/>
      <c r="M21" s="1228"/>
      <c r="N21" s="1228"/>
      <c r="O21" s="1229"/>
      <c r="P21" s="930"/>
      <c r="Q21" s="434"/>
      <c r="R21" s="434"/>
      <c r="T21" s="145"/>
      <c r="AV21" s="145"/>
      <c r="BE21" s="145"/>
    </row>
    <row r="22" spans="1:58" ht="30" customHeight="1" thickBot="1" x14ac:dyDescent="0.25">
      <c r="A22" s="159"/>
      <c r="B22" s="145"/>
      <c r="C22" s="145"/>
      <c r="D22" s="145"/>
      <c r="E22" s="145"/>
      <c r="F22" s="145"/>
      <c r="G22" s="145"/>
      <c r="H22" s="145"/>
      <c r="I22" s="145"/>
      <c r="J22" s="145"/>
      <c r="K22" s="160"/>
      <c r="L22" s="145"/>
      <c r="M22" s="145"/>
      <c r="N22" s="145"/>
      <c r="O22" s="434"/>
      <c r="P22" s="434"/>
      <c r="Q22" s="434"/>
      <c r="R22" s="434"/>
      <c r="T22" s="145"/>
      <c r="AV22" s="145"/>
      <c r="BE22" s="145"/>
    </row>
    <row r="23" spans="1:58" ht="80.25" customHeight="1" thickBot="1" x14ac:dyDescent="0.25">
      <c r="A23" s="159"/>
      <c r="B23" s="482" t="s">
        <v>372</v>
      </c>
      <c r="C23" s="483" t="s">
        <v>37</v>
      </c>
      <c r="D23" s="483" t="s">
        <v>38</v>
      </c>
      <c r="E23" s="483" t="s">
        <v>178</v>
      </c>
      <c r="F23" s="483" t="s">
        <v>73</v>
      </c>
      <c r="G23" s="483" t="s">
        <v>179</v>
      </c>
      <c r="H23" s="483" t="s">
        <v>333</v>
      </c>
      <c r="I23" s="483" t="s">
        <v>334</v>
      </c>
      <c r="J23" s="483" t="s">
        <v>502</v>
      </c>
      <c r="K23" s="484" t="s">
        <v>209</v>
      </c>
      <c r="L23" s="905" t="s">
        <v>414</v>
      </c>
      <c r="M23" s="919" t="s">
        <v>163</v>
      </c>
      <c r="R23" s="434"/>
      <c r="T23" s="145"/>
      <c r="AV23" s="145"/>
      <c r="BE23" s="145"/>
    </row>
    <row r="24" spans="1:58" ht="30" customHeight="1" thickBot="1" x14ac:dyDescent="0.25">
      <c r="A24" s="159"/>
      <c r="B24" s="146"/>
      <c r="C24" s="164"/>
      <c r="D24" s="164"/>
      <c r="E24" s="164"/>
      <c r="F24" s="164"/>
      <c r="G24" s="164"/>
      <c r="H24" s="164"/>
      <c r="I24" s="164"/>
      <c r="J24" s="164"/>
      <c r="K24" s="942"/>
      <c r="L24" s="164"/>
      <c r="M24" s="147"/>
      <c r="R24" s="434"/>
      <c r="T24" s="145"/>
      <c r="U24" s="145"/>
      <c r="V24" s="145"/>
      <c r="W24" s="148"/>
      <c r="AD24" s="145"/>
      <c r="AV24" s="145"/>
      <c r="BE24" s="145"/>
      <c r="BF24" s="145"/>
    </row>
    <row r="25" spans="1:58" ht="30" customHeight="1" x14ac:dyDescent="0.2">
      <c r="A25" s="159"/>
      <c r="B25" s="485" t="s">
        <v>188</v>
      </c>
      <c r="C25" s="486" t="s">
        <v>68</v>
      </c>
      <c r="D25" s="486" t="s">
        <v>69</v>
      </c>
      <c r="E25" s="486" t="s">
        <v>439</v>
      </c>
      <c r="F25" s="487">
        <v>15.56</v>
      </c>
      <c r="G25" s="488">
        <v>4.9998800000000001</v>
      </c>
      <c r="H25" s="225">
        <v>4.0967700000000002</v>
      </c>
      <c r="I25" s="225">
        <f>H25</f>
        <v>4.0967700000000002</v>
      </c>
      <c r="J25" s="486">
        <v>4.7700000000000001E-5</v>
      </c>
      <c r="K25" s="487">
        <f>(5.49+5.5+5.51)/3</f>
        <v>5.5</v>
      </c>
      <c r="L25" s="489">
        <v>5.0000000000000001E-3</v>
      </c>
      <c r="M25" s="928">
        <v>9.9000000000000001E-6</v>
      </c>
      <c r="R25" s="434"/>
      <c r="T25" s="145"/>
      <c r="U25" s="145"/>
      <c r="V25" s="145"/>
      <c r="W25" s="148"/>
      <c r="X25" s="148"/>
      <c r="Y25" s="165"/>
      <c r="Z25" s="165"/>
      <c r="AA25" s="165"/>
      <c r="AB25" s="165"/>
      <c r="AC25" s="165"/>
      <c r="AD25" s="145"/>
      <c r="AV25" s="145"/>
      <c r="BE25" s="145"/>
      <c r="BF25" s="145"/>
    </row>
    <row r="26" spans="1:58" ht="30" customHeight="1" thickBot="1" x14ac:dyDescent="0.25">
      <c r="A26" s="159"/>
      <c r="B26" s="490" t="s">
        <v>189</v>
      </c>
      <c r="C26" s="220" t="s">
        <v>68</v>
      </c>
      <c r="D26" s="330" t="s">
        <v>22</v>
      </c>
      <c r="E26" s="220" t="s">
        <v>440</v>
      </c>
      <c r="F26" s="491">
        <v>20</v>
      </c>
      <c r="G26" s="492">
        <v>5.0015799999999997</v>
      </c>
      <c r="H26" s="219">
        <v>8.1935000000000002</v>
      </c>
      <c r="I26" s="220">
        <f>H26</f>
        <v>8.1935000000000002</v>
      </c>
      <c r="J26" s="220">
        <v>4.7700000000000001E-5</v>
      </c>
      <c r="K26" s="492">
        <f>(7.29+7.26+7.25)/3</f>
        <v>7.2666666666666666</v>
      </c>
      <c r="L26" s="493">
        <v>5.0000000000000001E-3</v>
      </c>
      <c r="M26" s="929">
        <f>M25</f>
        <v>9.9000000000000001E-6</v>
      </c>
      <c r="R26" s="434"/>
      <c r="T26" s="145"/>
      <c r="U26" s="145"/>
      <c r="X26" s="148"/>
      <c r="Y26" s="165"/>
      <c r="Z26" s="165"/>
      <c r="AA26" s="165"/>
      <c r="AB26" s="165"/>
      <c r="AC26" s="165"/>
      <c r="AD26" s="145"/>
      <c r="AV26" s="145"/>
      <c r="BE26" s="145"/>
      <c r="BF26" s="145"/>
    </row>
    <row r="27" spans="1:58" ht="30" customHeight="1" thickBot="1" x14ac:dyDescent="0.25">
      <c r="A27" s="159"/>
      <c r="B27" s="145"/>
      <c r="C27" s="152"/>
      <c r="D27" s="152"/>
      <c r="E27" s="152"/>
      <c r="F27" s="152"/>
      <c r="G27" s="152"/>
      <c r="H27" s="152"/>
      <c r="I27" s="152"/>
      <c r="J27" s="152"/>
      <c r="K27" s="215"/>
      <c r="L27" s="152"/>
      <c r="M27" s="152"/>
      <c r="N27" s="152"/>
      <c r="O27" s="434"/>
      <c r="P27" s="434"/>
      <c r="Q27" s="434"/>
      <c r="R27" s="434"/>
      <c r="T27" s="145"/>
      <c r="X27" s="148"/>
      <c r="AB27" s="165"/>
      <c r="AC27" s="165"/>
      <c r="AD27" s="145"/>
      <c r="AV27" s="145"/>
      <c r="BE27" s="145"/>
      <c r="BF27" s="145"/>
    </row>
    <row r="28" spans="1:58" ht="30" customHeight="1" thickBot="1" x14ac:dyDescent="0.25">
      <c r="A28" s="159"/>
      <c r="B28" s="1206" t="s">
        <v>335</v>
      </c>
      <c r="C28" s="1208"/>
      <c r="D28" s="1208"/>
      <c r="E28" s="1208"/>
      <c r="F28" s="1208"/>
      <c r="G28" s="1208"/>
      <c r="H28" s="1208"/>
      <c r="I28" s="1208"/>
      <c r="J28" s="1208"/>
      <c r="K28" s="1208"/>
      <c r="L28" s="1208"/>
      <c r="M28" s="1208"/>
      <c r="N28" s="1208"/>
      <c r="O28" s="1209"/>
      <c r="Q28" s="434"/>
      <c r="R28" s="434"/>
      <c r="S28" s="152"/>
      <c r="T28" s="1194"/>
      <c r="U28" s="1194"/>
      <c r="V28" s="1194"/>
      <c r="X28" s="148"/>
      <c r="AB28" s="165"/>
      <c r="AC28" s="165"/>
      <c r="AD28" s="145"/>
      <c r="AV28" s="145"/>
    </row>
    <row r="29" spans="1:58" ht="60" customHeight="1" thickBot="1" x14ac:dyDescent="0.25">
      <c r="A29" s="159"/>
      <c r="B29" s="1328" t="s">
        <v>373</v>
      </c>
      <c r="C29" s="494" t="s">
        <v>372</v>
      </c>
      <c r="D29" s="550" t="s">
        <v>37</v>
      </c>
      <c r="E29" s="550" t="s">
        <v>235</v>
      </c>
      <c r="F29" s="550" t="s">
        <v>234</v>
      </c>
      <c r="G29" s="550" t="s">
        <v>161</v>
      </c>
      <c r="H29" s="550" t="s">
        <v>206</v>
      </c>
      <c r="I29" s="550" t="s">
        <v>159</v>
      </c>
      <c r="J29" s="550" t="s">
        <v>207</v>
      </c>
      <c r="K29" s="931" t="s">
        <v>160</v>
      </c>
      <c r="L29" s="550" t="s">
        <v>247</v>
      </c>
      <c r="M29" s="1062" t="s">
        <v>536</v>
      </c>
      <c r="N29" s="1062" t="s">
        <v>537</v>
      </c>
      <c r="O29" s="1063" t="s">
        <v>525</v>
      </c>
      <c r="Q29" s="434"/>
      <c r="R29" s="434"/>
      <c r="S29" s="893"/>
      <c r="T29" s="893"/>
      <c r="U29" s="893"/>
      <c r="V29" s="877"/>
      <c r="X29" s="148"/>
      <c r="AB29" s="165"/>
      <c r="AC29" s="165"/>
      <c r="AD29" s="145"/>
      <c r="AV29" s="145"/>
    </row>
    <row r="30" spans="1:58" ht="30" customHeight="1" thickBot="1" x14ac:dyDescent="0.25">
      <c r="A30" s="159"/>
      <c r="B30" s="1211"/>
      <c r="C30" s="941"/>
      <c r="D30" s="164"/>
      <c r="E30" s="179"/>
      <c r="F30" s="179"/>
      <c r="G30" s="179"/>
      <c r="H30" s="179"/>
      <c r="I30" s="179"/>
      <c r="J30" s="179"/>
      <c r="K30" s="942"/>
      <c r="L30" s="164"/>
      <c r="M30" s="164"/>
      <c r="N30" s="943"/>
      <c r="O30" s="180"/>
      <c r="Q30" s="434"/>
      <c r="R30" s="434"/>
      <c r="S30" s="1337"/>
      <c r="T30" s="1332"/>
      <c r="U30" s="906"/>
      <c r="V30" s="1336"/>
      <c r="X30" s="148"/>
      <c r="AV30" s="145"/>
    </row>
    <row r="31" spans="1:58" ht="30" customHeight="1" x14ac:dyDescent="0.2">
      <c r="A31" s="159"/>
      <c r="B31" s="1313"/>
      <c r="C31" s="499" t="str">
        <f>B25</f>
        <v>V-005</v>
      </c>
      <c r="D31" s="486" t="str">
        <f>C25</f>
        <v>Serhapin test Measure</v>
      </c>
      <c r="E31" s="486" t="str">
        <f>E25</f>
        <v xml:space="preserve">16-5935702    C-I V-005         </v>
      </c>
      <c r="F31" s="500">
        <v>18926.59</v>
      </c>
      <c r="G31" s="225">
        <f>H25</f>
        <v>4.0967700000000002</v>
      </c>
      <c r="H31" s="501">
        <f>'RT03-F11 @ '!M30-'DATOS @'!F31</f>
        <v>0.46500000000014552</v>
      </c>
      <c r="I31" s="502">
        <v>3</v>
      </c>
      <c r="J31" s="501">
        <v>2.04</v>
      </c>
      <c r="K31" s="503">
        <v>43406</v>
      </c>
      <c r="L31" s="932" t="s">
        <v>323</v>
      </c>
      <c r="M31" s="1066">
        <f>F31/1000</f>
        <v>18.926590000000001</v>
      </c>
      <c r="N31" s="1066">
        <v>18.926469999999998</v>
      </c>
      <c r="O31" s="1109">
        <f>(M31-N31)*1000</f>
        <v>0.1200000000025625</v>
      </c>
      <c r="Q31" s="434"/>
      <c r="R31" s="434"/>
      <c r="S31" s="1337"/>
      <c r="T31" s="1332"/>
      <c r="U31" s="907"/>
      <c r="V31" s="1336"/>
      <c r="AV31" s="145"/>
      <c r="BF31" s="162"/>
    </row>
    <row r="32" spans="1:58" ht="30" customHeight="1" thickBot="1" x14ac:dyDescent="0.25">
      <c r="A32" s="159"/>
      <c r="B32" s="1313"/>
      <c r="C32" s="505" t="str">
        <f>B26</f>
        <v>V-001</v>
      </c>
      <c r="D32" s="220" t="str">
        <f>C26</f>
        <v>Serhapin test Measure</v>
      </c>
      <c r="E32" s="220" t="str">
        <f>E26</f>
        <v>14-92812 C-I V-001</v>
      </c>
      <c r="F32" s="933">
        <v>18933.04</v>
      </c>
      <c r="G32" s="219">
        <f>H26</f>
        <v>8.1935000000000002</v>
      </c>
      <c r="H32" s="506">
        <f>'RT03-F11 @ '!M31-'DATOS @'!F32</f>
        <v>-5.9850000000005821</v>
      </c>
      <c r="I32" s="221">
        <v>5</v>
      </c>
      <c r="J32" s="219">
        <v>2.0299999999999998</v>
      </c>
      <c r="K32" s="222">
        <v>43410</v>
      </c>
      <c r="L32" s="934" t="s">
        <v>330</v>
      </c>
      <c r="M32" s="1110"/>
      <c r="N32" s="1111"/>
      <c r="O32" s="1112">
        <f>(M32-N32)*1000</f>
        <v>0</v>
      </c>
      <c r="Q32" s="434"/>
      <c r="R32" s="434"/>
      <c r="S32" s="1332"/>
      <c r="T32" s="1332"/>
      <c r="U32" s="1332"/>
      <c r="V32" s="1332"/>
      <c r="AV32" s="145"/>
    </row>
    <row r="33" spans="1:58" ht="30" customHeight="1" x14ac:dyDescent="0.2">
      <c r="A33" s="159"/>
      <c r="B33" s="163"/>
      <c r="C33" s="170"/>
      <c r="D33" s="145"/>
      <c r="E33" s="170"/>
      <c r="F33" s="170"/>
      <c r="G33" s="170"/>
      <c r="H33" s="508"/>
      <c r="I33" s="170"/>
      <c r="J33" s="170"/>
      <c r="K33" s="160"/>
      <c r="L33" s="145"/>
      <c r="M33" s="152"/>
      <c r="N33" s="152"/>
      <c r="Q33" s="434"/>
      <c r="R33" s="434"/>
      <c r="S33" s="877"/>
      <c r="T33" s="908"/>
      <c r="U33" s="877"/>
      <c r="V33" s="877"/>
      <c r="AV33" s="145"/>
      <c r="BF33" s="153"/>
    </row>
    <row r="34" spans="1:58" ht="30" customHeight="1" thickBot="1" x14ac:dyDescent="0.25">
      <c r="A34" s="159"/>
      <c r="B34" s="145"/>
      <c r="C34" s="145"/>
      <c r="D34" s="145"/>
      <c r="E34" s="145"/>
      <c r="F34" s="145"/>
      <c r="G34" s="145"/>
      <c r="H34" s="145"/>
      <c r="I34" s="145"/>
      <c r="J34" s="145"/>
      <c r="K34" s="160"/>
      <c r="L34" s="145"/>
      <c r="M34" s="152"/>
      <c r="N34" s="152"/>
      <c r="Q34" s="434"/>
      <c r="R34" s="434"/>
      <c r="S34" s="877"/>
      <c r="T34" s="877"/>
      <c r="U34" s="877"/>
      <c r="V34" s="877"/>
      <c r="AV34" s="145"/>
      <c r="BF34" s="153"/>
    </row>
    <row r="35" spans="1:58" ht="30" customHeight="1" thickBot="1" x14ac:dyDescent="0.25">
      <c r="A35" s="159"/>
      <c r="B35" s="1206" t="s">
        <v>174</v>
      </c>
      <c r="C35" s="1207"/>
      <c r="D35" s="1207"/>
      <c r="E35" s="1207"/>
      <c r="F35" s="1207"/>
      <c r="G35" s="1207"/>
      <c r="H35" s="1207"/>
      <c r="I35" s="1207"/>
      <c r="J35" s="1207"/>
      <c r="K35" s="1207"/>
      <c r="L35" s="1207"/>
      <c r="M35" s="1207"/>
      <c r="N35" s="1207"/>
      <c r="O35" s="1207"/>
      <c r="P35" s="1207"/>
      <c r="Q35" s="1207"/>
      <c r="R35" s="1318"/>
      <c r="AV35" s="145"/>
      <c r="BF35" s="153"/>
    </row>
    <row r="36" spans="1:58" ht="60" customHeight="1" thickBot="1" x14ac:dyDescent="0.25">
      <c r="A36" s="159"/>
      <c r="B36" s="145"/>
      <c r="C36" s="170"/>
      <c r="D36" s="495" t="s">
        <v>37</v>
      </c>
      <c r="E36" s="496" t="s">
        <v>235</v>
      </c>
      <c r="F36" s="496" t="s">
        <v>544</v>
      </c>
      <c r="G36" s="496" t="s">
        <v>161</v>
      </c>
      <c r="H36" s="496" t="s">
        <v>206</v>
      </c>
      <c r="I36" s="496" t="s">
        <v>159</v>
      </c>
      <c r="J36" s="496" t="s">
        <v>207</v>
      </c>
      <c r="K36" s="944" t="s">
        <v>160</v>
      </c>
      <c r="L36" s="496" t="s">
        <v>247</v>
      </c>
      <c r="M36" s="945" t="s">
        <v>490</v>
      </c>
      <c r="N36" s="945" t="s">
        <v>491</v>
      </c>
      <c r="O36" s="496" t="s">
        <v>545</v>
      </c>
      <c r="P36" s="496" t="s">
        <v>482</v>
      </c>
      <c r="Q36" s="496" t="s">
        <v>483</v>
      </c>
      <c r="R36" s="1064" t="s">
        <v>484</v>
      </c>
      <c r="AV36" s="145"/>
      <c r="BF36" s="153"/>
    </row>
    <row r="37" spans="1:58" ht="45" customHeight="1" thickBot="1" x14ac:dyDescent="0.25">
      <c r="A37" s="159"/>
      <c r="B37" s="145"/>
      <c r="C37" s="145"/>
      <c r="D37" s="170"/>
      <c r="E37" s="170"/>
      <c r="F37" s="170"/>
      <c r="G37" s="170"/>
      <c r="H37" s="170"/>
      <c r="I37" s="170"/>
      <c r="J37" s="170"/>
      <c r="K37" s="522"/>
      <c r="L37" s="145"/>
      <c r="M37" s="152"/>
      <c r="N37" s="152"/>
      <c r="AV37" s="145"/>
      <c r="BF37" s="153"/>
    </row>
    <row r="38" spans="1:58" ht="33.950000000000003" customHeight="1" thickBot="1" x14ac:dyDescent="0.25">
      <c r="A38" s="159"/>
      <c r="B38" s="1290" t="s">
        <v>374</v>
      </c>
      <c r="C38" s="981" t="s">
        <v>266</v>
      </c>
      <c r="D38" s="1329" t="s">
        <v>246</v>
      </c>
      <c r="E38" s="510" t="s">
        <v>190</v>
      </c>
      <c r="F38" s="511">
        <v>14.064</v>
      </c>
      <c r="G38" s="225">
        <v>1E-3</v>
      </c>
      <c r="H38" s="225">
        <v>-5.0999999999999997E-2</v>
      </c>
      <c r="I38" s="225">
        <v>4.3999999999999997E-2</v>
      </c>
      <c r="J38" s="502">
        <v>2</v>
      </c>
      <c r="K38" s="512">
        <v>43574</v>
      </c>
      <c r="L38" s="1325" t="s">
        <v>342</v>
      </c>
      <c r="M38" s="936">
        <f>SLOPE($H$38:$H$42,$F$38:$F$42)</f>
        <v>-1.8688926308402325E-3</v>
      </c>
      <c r="N38" s="937">
        <f>INTERCEPT($H$38:$H$42,$F$38:$F$42)</f>
        <v>-2.4958668866796839E-2</v>
      </c>
      <c r="O38" s="981">
        <v>14</v>
      </c>
      <c r="P38" s="1066">
        <v>14.064</v>
      </c>
      <c r="Q38" s="1066">
        <v>14.064</v>
      </c>
      <c r="R38" s="1113">
        <f>P38-Q38</f>
        <v>0</v>
      </c>
      <c r="AV38" s="145"/>
      <c r="BF38" s="153"/>
    </row>
    <row r="39" spans="1:58" ht="33.950000000000003" customHeight="1" thickBot="1" x14ac:dyDescent="0.25">
      <c r="A39" s="159"/>
      <c r="B39" s="1291"/>
      <c r="C39" s="981" t="s">
        <v>267</v>
      </c>
      <c r="D39" s="1330"/>
      <c r="E39" s="514" t="s">
        <v>190</v>
      </c>
      <c r="F39" s="515">
        <v>16.068000000000001</v>
      </c>
      <c r="G39" s="328">
        <v>1E-3</v>
      </c>
      <c r="H39" s="328">
        <v>-5.5E-2</v>
      </c>
      <c r="I39" s="328">
        <v>4.3999999999999997E-2</v>
      </c>
      <c r="J39" s="326">
        <v>2</v>
      </c>
      <c r="K39" s="516">
        <v>43574</v>
      </c>
      <c r="L39" s="1326"/>
      <c r="M39" s="517">
        <f>SLOPE($H$38:$H$42,$F$38:$F$42)</f>
        <v>-1.8688926308402325E-3</v>
      </c>
      <c r="N39" s="935">
        <f>INTERCEPT($H$38:$H$42,$F$38:$F$42)</f>
        <v>-2.4958668866796839E-2</v>
      </c>
      <c r="O39" s="327">
        <v>16</v>
      </c>
      <c r="P39" s="1083">
        <v>16.068000000000001</v>
      </c>
      <c r="Q39" s="1083">
        <v>16.068000000000001</v>
      </c>
      <c r="R39" s="1114">
        <f>P39-Q39</f>
        <v>0</v>
      </c>
      <c r="AV39" s="145"/>
      <c r="BF39" s="153"/>
    </row>
    <row r="40" spans="1:58" ht="33.950000000000003" customHeight="1" thickBot="1" x14ac:dyDescent="0.25">
      <c r="A40" s="228" t="s">
        <v>327</v>
      </c>
      <c r="B40" s="1291"/>
      <c r="C40" s="982" t="s">
        <v>268</v>
      </c>
      <c r="D40" s="1330"/>
      <c r="E40" s="514" t="s">
        <v>190</v>
      </c>
      <c r="F40" s="515">
        <v>17.065000000000001</v>
      </c>
      <c r="G40" s="328">
        <v>1E-3</v>
      </c>
      <c r="H40" s="328">
        <v>-5.7000000000000002E-2</v>
      </c>
      <c r="I40" s="328">
        <v>4.3999999999999997E-2</v>
      </c>
      <c r="J40" s="326">
        <v>2</v>
      </c>
      <c r="K40" s="516">
        <v>43574</v>
      </c>
      <c r="L40" s="1326"/>
      <c r="M40" s="518">
        <f>SLOPE($H$38:$H$42,$F$38:$F$42)</f>
        <v>-1.8688926308402325E-3</v>
      </c>
      <c r="N40" s="911">
        <f>INTERCEPT($H$38:$H$42,$F$38:$F$42)</f>
        <v>-2.4958668866796839E-2</v>
      </c>
      <c r="O40" s="328">
        <v>17</v>
      </c>
      <c r="P40" s="1083">
        <v>17.065000000000001</v>
      </c>
      <c r="Q40" s="1083">
        <v>17.065000000000001</v>
      </c>
      <c r="R40" s="1114">
        <f>P40-Q40</f>
        <v>0</v>
      </c>
      <c r="AV40" s="145"/>
    </row>
    <row r="41" spans="1:58" ht="33.950000000000003" customHeight="1" thickBot="1" x14ac:dyDescent="0.25">
      <c r="A41" s="159"/>
      <c r="B41" s="1291"/>
      <c r="C41" s="982" t="s">
        <v>324</v>
      </c>
      <c r="D41" s="1330"/>
      <c r="E41" s="514" t="s">
        <v>190</v>
      </c>
      <c r="F41" s="328">
        <v>18.064</v>
      </c>
      <c r="G41" s="328">
        <v>1E-3</v>
      </c>
      <c r="H41" s="328">
        <v>-5.8999999999999997E-2</v>
      </c>
      <c r="I41" s="328">
        <v>4.3999999999999997E-2</v>
      </c>
      <c r="J41" s="326">
        <v>2</v>
      </c>
      <c r="K41" s="516">
        <v>43574</v>
      </c>
      <c r="L41" s="1326"/>
      <c r="M41" s="517">
        <f>SLOPE($H$38:$H$42,$F$38:$F$42)</f>
        <v>-1.8688926308402325E-3</v>
      </c>
      <c r="N41" s="910">
        <f>INTERCEPT($H$38:$H$42,$F$38:$F$42)</f>
        <v>-2.4958668866796839E-2</v>
      </c>
      <c r="O41" s="328">
        <v>18</v>
      </c>
      <c r="P41" s="1083">
        <v>18.064</v>
      </c>
      <c r="Q41" s="1083">
        <v>18.064</v>
      </c>
      <c r="R41" s="1114">
        <f>P41-Q41</f>
        <v>0</v>
      </c>
      <c r="AB41" s="165"/>
      <c r="AC41" s="165"/>
      <c r="AD41" s="145"/>
      <c r="AV41" s="145"/>
    </row>
    <row r="42" spans="1:58" ht="33.950000000000003" customHeight="1" thickBot="1" x14ac:dyDescent="0.25">
      <c r="A42" s="159"/>
      <c r="B42" s="1292"/>
      <c r="C42" s="982" t="s">
        <v>325</v>
      </c>
      <c r="D42" s="1331"/>
      <c r="E42" s="519" t="s">
        <v>190</v>
      </c>
      <c r="F42" s="219">
        <v>22.067</v>
      </c>
      <c r="G42" s="219">
        <v>1E-3</v>
      </c>
      <c r="H42" s="219">
        <v>-6.6000000000000003E-2</v>
      </c>
      <c r="I42" s="219">
        <v>4.3999999999999997E-2</v>
      </c>
      <c r="J42" s="221">
        <v>2</v>
      </c>
      <c r="K42" s="520">
        <v>43574</v>
      </c>
      <c r="L42" s="1327"/>
      <c r="M42" s="521">
        <f>SLOPE($H$38:$H$42,$F$38:$F$42)</f>
        <v>-1.8688926308402325E-3</v>
      </c>
      <c r="N42" s="912">
        <f>INTERCEPT($H$38:$H$42,$F$38:$F$42)</f>
        <v>-2.4958668866796839E-2</v>
      </c>
      <c r="O42" s="219">
        <v>22</v>
      </c>
      <c r="P42" s="1081">
        <v>22.067</v>
      </c>
      <c r="Q42" s="1081">
        <v>22.067</v>
      </c>
      <c r="R42" s="1115">
        <f>P42-Q42</f>
        <v>0</v>
      </c>
      <c r="S42" s="152"/>
      <c r="T42" s="900"/>
      <c r="U42" s="900"/>
      <c r="V42" s="900"/>
      <c r="AB42" s="165"/>
      <c r="AC42" s="165"/>
      <c r="AD42" s="145"/>
      <c r="AV42" s="145"/>
    </row>
    <row r="43" spans="1:58" ht="42" customHeight="1" thickBot="1" x14ac:dyDescent="0.25">
      <c r="A43" s="159"/>
      <c r="B43" s="146"/>
      <c r="C43" s="179"/>
      <c r="D43" s="164"/>
      <c r="E43" s="938"/>
      <c r="F43" s="939"/>
      <c r="G43" s="179"/>
      <c r="H43" s="179"/>
      <c r="I43" s="179"/>
      <c r="J43" s="179"/>
      <c r="K43" s="561"/>
      <c r="L43" s="940"/>
      <c r="M43" s="940"/>
      <c r="N43" s="940"/>
      <c r="O43" s="164"/>
      <c r="P43" s="164"/>
      <c r="Q43" s="164"/>
      <c r="R43" s="147"/>
      <c r="S43" s="893"/>
      <c r="T43" s="893"/>
      <c r="U43" s="893"/>
      <c r="V43" s="877"/>
      <c r="W43" s="148"/>
      <c r="AB43" s="165"/>
      <c r="AC43" s="165"/>
      <c r="AD43" s="145"/>
      <c r="AV43" s="145"/>
    </row>
    <row r="44" spans="1:58" ht="33.950000000000003" customHeight="1" thickBot="1" x14ac:dyDescent="0.25">
      <c r="A44" s="159"/>
      <c r="B44" s="1290" t="s">
        <v>375</v>
      </c>
      <c r="C44" s="981" t="s">
        <v>549</v>
      </c>
      <c r="D44" s="1329" t="s">
        <v>246</v>
      </c>
      <c r="E44" s="510" t="s">
        <v>191</v>
      </c>
      <c r="F44" s="511">
        <v>14.028</v>
      </c>
      <c r="G44" s="225">
        <v>1E-3</v>
      </c>
      <c r="H44" s="225">
        <v>-1.4999999999999999E-2</v>
      </c>
      <c r="I44" s="225">
        <v>4.3999999999999997E-2</v>
      </c>
      <c r="J44" s="502">
        <v>2</v>
      </c>
      <c r="K44" s="512">
        <v>43564</v>
      </c>
      <c r="L44" s="1236" t="s">
        <v>343</v>
      </c>
      <c r="M44" s="513">
        <f>SLOPE($H$44:$H$48,$F$44:$F$48)</f>
        <v>-1.494487043762891E-3</v>
      </c>
      <c r="N44" s="913">
        <f>INTERCEPT($H$44:$H$48,$F$44:$F$48)</f>
        <v>5.8459201986996584E-3</v>
      </c>
      <c r="O44" s="486">
        <v>14</v>
      </c>
      <c r="P44" s="1082">
        <v>14.028</v>
      </c>
      <c r="Q44" s="1082">
        <v>14.028</v>
      </c>
      <c r="R44" s="1113">
        <f>P44-Q44</f>
        <v>0</v>
      </c>
      <c r="W44" s="148"/>
      <c r="AB44" s="165"/>
      <c r="AC44" s="165"/>
      <c r="AD44" s="145"/>
      <c r="AV44" s="145"/>
    </row>
    <row r="45" spans="1:58" ht="33.950000000000003" customHeight="1" thickBot="1" x14ac:dyDescent="0.25">
      <c r="A45" s="159"/>
      <c r="B45" s="1291"/>
      <c r="C45" s="981" t="s">
        <v>550</v>
      </c>
      <c r="D45" s="1330"/>
      <c r="E45" s="514" t="s">
        <v>191</v>
      </c>
      <c r="F45" s="515">
        <v>16.03</v>
      </c>
      <c r="G45" s="328">
        <v>1E-3</v>
      </c>
      <c r="H45" s="328">
        <v>-1.7999999999999999E-2</v>
      </c>
      <c r="I45" s="328">
        <v>4.3999999999999997E-2</v>
      </c>
      <c r="J45" s="326">
        <v>2</v>
      </c>
      <c r="K45" s="516">
        <v>43564</v>
      </c>
      <c r="L45" s="1237"/>
      <c r="M45" s="517">
        <f>SLOPE($H$44:$H$48,$F$44:$F$48)</f>
        <v>-1.494487043762891E-3</v>
      </c>
      <c r="N45" s="914">
        <f>INTERCEPT($H$44:$H$48,$F$44:$F$48)</f>
        <v>5.8459201986996584E-3</v>
      </c>
      <c r="O45" s="327">
        <v>16</v>
      </c>
      <c r="P45" s="1084">
        <v>16.03</v>
      </c>
      <c r="Q45" s="1084">
        <v>16.03</v>
      </c>
      <c r="R45" s="1114">
        <f>P45-Q45</f>
        <v>0</v>
      </c>
      <c r="W45" s="148"/>
      <c r="AB45" s="165"/>
      <c r="AC45" s="165"/>
      <c r="AD45" s="145"/>
      <c r="AV45" s="145"/>
    </row>
    <row r="46" spans="1:58" ht="33.950000000000003" customHeight="1" thickBot="1" x14ac:dyDescent="0.25">
      <c r="A46" s="228" t="s">
        <v>326</v>
      </c>
      <c r="B46" s="1291"/>
      <c r="C46" s="982" t="s">
        <v>551</v>
      </c>
      <c r="D46" s="1330"/>
      <c r="E46" s="514" t="s">
        <v>191</v>
      </c>
      <c r="F46" s="515">
        <v>17.027999999999999</v>
      </c>
      <c r="G46" s="328">
        <v>1E-3</v>
      </c>
      <c r="H46" s="515">
        <v>-0.02</v>
      </c>
      <c r="I46" s="328">
        <v>4.3999999999999997E-2</v>
      </c>
      <c r="J46" s="326">
        <v>2</v>
      </c>
      <c r="K46" s="516">
        <v>43564</v>
      </c>
      <c r="L46" s="1237"/>
      <c r="M46" s="518">
        <f>SLOPE($H$44:$H$48,$F$44:$F$48)</f>
        <v>-1.494487043762891E-3</v>
      </c>
      <c r="N46" s="915">
        <f>INTERCEPT($H$44:$H$48,$F$44:$F$48)</f>
        <v>5.8459201986996584E-3</v>
      </c>
      <c r="O46" s="328">
        <v>17</v>
      </c>
      <c r="P46" s="1084">
        <v>17.027999999999999</v>
      </c>
      <c r="Q46" s="1084">
        <v>17.027999999999999</v>
      </c>
      <c r="R46" s="1114">
        <f>P46-Q46</f>
        <v>0</v>
      </c>
      <c r="W46" s="148"/>
      <c r="AB46" s="165"/>
      <c r="AC46" s="165"/>
      <c r="AD46" s="145"/>
      <c r="AV46" s="145"/>
    </row>
    <row r="47" spans="1:58" ht="33.950000000000003" customHeight="1" thickBot="1" x14ac:dyDescent="0.25">
      <c r="A47" s="159"/>
      <c r="B47" s="1291"/>
      <c r="C47" s="982" t="s">
        <v>552</v>
      </c>
      <c r="D47" s="1330"/>
      <c r="E47" s="514" t="s">
        <v>192</v>
      </c>
      <c r="F47" s="328">
        <v>18.026</v>
      </c>
      <c r="G47" s="328">
        <v>1E-3</v>
      </c>
      <c r="H47" s="328">
        <v>-2.1000000000000001E-2</v>
      </c>
      <c r="I47" s="328">
        <v>4.3999999999999997E-2</v>
      </c>
      <c r="J47" s="326">
        <v>2</v>
      </c>
      <c r="K47" s="516">
        <v>43564</v>
      </c>
      <c r="L47" s="1237"/>
      <c r="M47" s="517">
        <f>SLOPE($H$44:$H$48,$F$44:$F$48)</f>
        <v>-1.494487043762891E-3</v>
      </c>
      <c r="N47" s="914">
        <f>INTERCEPT($H$44:$H$48,$F$44:$F$48)</f>
        <v>5.8459201986996584E-3</v>
      </c>
      <c r="O47" s="328">
        <v>18</v>
      </c>
      <c r="P47" s="1083">
        <v>18.026</v>
      </c>
      <c r="Q47" s="1083">
        <v>18.026</v>
      </c>
      <c r="R47" s="1114">
        <f>P47-Q47</f>
        <v>0</v>
      </c>
      <c r="W47" s="148"/>
      <c r="AB47" s="165"/>
      <c r="AC47" s="165"/>
      <c r="AD47" s="145"/>
      <c r="AV47" s="145"/>
    </row>
    <row r="48" spans="1:58" ht="33.950000000000003" customHeight="1" thickBot="1" x14ac:dyDescent="0.25">
      <c r="A48" s="159"/>
      <c r="B48" s="1292"/>
      <c r="C48" s="982" t="s">
        <v>553</v>
      </c>
      <c r="D48" s="1331"/>
      <c r="E48" s="519" t="s">
        <v>191</v>
      </c>
      <c r="F48" s="219">
        <v>22.027999999999999</v>
      </c>
      <c r="G48" s="219">
        <v>1E-3</v>
      </c>
      <c r="H48" s="219">
        <v>-2.7E-2</v>
      </c>
      <c r="I48" s="219">
        <v>4.3999999999999997E-2</v>
      </c>
      <c r="J48" s="221">
        <v>2</v>
      </c>
      <c r="K48" s="520">
        <v>43564</v>
      </c>
      <c r="L48" s="1238"/>
      <c r="M48" s="521">
        <f>SLOPE($H$44:$H$48,$F$44:$F$48)</f>
        <v>-1.494487043762891E-3</v>
      </c>
      <c r="N48" s="916">
        <f>INTERCEPT($H$44:$H$48,$F$44:$F$48)</f>
        <v>5.8459201986996584E-3</v>
      </c>
      <c r="O48" s="219">
        <v>22</v>
      </c>
      <c r="P48" s="1081">
        <v>22.027999999999999</v>
      </c>
      <c r="Q48" s="1081">
        <v>22.027999999999999</v>
      </c>
      <c r="R48" s="1115">
        <f>P48-Q48</f>
        <v>0</v>
      </c>
      <c r="W48" s="165"/>
      <c r="X48" s="148"/>
      <c r="Y48" s="148"/>
      <c r="Z48" s="148"/>
      <c r="AB48" s="165"/>
      <c r="AC48" s="165"/>
      <c r="AD48" s="145"/>
      <c r="AV48" s="145"/>
    </row>
    <row r="49" spans="1:58" ht="30" customHeight="1" x14ac:dyDescent="0.2">
      <c r="A49" s="159"/>
      <c r="H49" s="411"/>
      <c r="Q49" s="451"/>
      <c r="R49" s="165"/>
      <c r="T49" s="909"/>
      <c r="U49" s="877"/>
      <c r="V49" s="877"/>
      <c r="W49" s="165"/>
      <c r="X49" s="148"/>
      <c r="Y49" s="148"/>
      <c r="Z49" s="148"/>
      <c r="AB49" s="165"/>
      <c r="AC49" s="165"/>
      <c r="AD49" s="145"/>
      <c r="AV49" s="145"/>
    </row>
    <row r="50" spans="1:58" ht="30" customHeight="1" thickBot="1" x14ac:dyDescent="0.25">
      <c r="A50" s="159"/>
      <c r="B50" s="145"/>
      <c r="C50" s="145"/>
      <c r="D50" s="145"/>
      <c r="E50" s="145"/>
      <c r="F50" s="145"/>
      <c r="G50" s="145"/>
      <c r="H50" s="145"/>
      <c r="I50" s="145"/>
      <c r="J50" s="145"/>
      <c r="K50" s="160"/>
      <c r="L50" s="145"/>
      <c r="M50" s="152"/>
      <c r="Q50" s="451"/>
      <c r="R50" s="165"/>
      <c r="T50" s="148"/>
      <c r="U50" s="148"/>
      <c r="V50" s="148"/>
      <c r="W50" s="165"/>
      <c r="X50" s="148"/>
      <c r="Y50" s="148"/>
      <c r="Z50" s="148"/>
      <c r="AA50" s="165"/>
      <c r="AB50" s="165"/>
      <c r="AC50" s="165"/>
      <c r="AD50" s="145"/>
      <c r="AV50" s="145"/>
    </row>
    <row r="51" spans="1:58" ht="30" customHeight="1" x14ac:dyDescent="0.2">
      <c r="A51" s="159"/>
      <c r="B51" s="145"/>
      <c r="C51" s="1254" t="s">
        <v>292</v>
      </c>
      <c r="D51" s="1255"/>
      <c r="E51" s="1255"/>
      <c r="F51" s="1255"/>
      <c r="G51" s="1255"/>
      <c r="H51" s="1255"/>
      <c r="I51" s="1255"/>
      <c r="J51" s="1255"/>
      <c r="K51" s="1255"/>
      <c r="L51" s="1255"/>
      <c r="M51" s="1255"/>
      <c r="N51" s="1255"/>
      <c r="O51" s="1255"/>
      <c r="P51" s="1255"/>
      <c r="Q51" s="1255"/>
      <c r="R51" s="1255"/>
      <c r="S51" s="1255"/>
      <c r="T51" s="1256"/>
      <c r="U51" s="165"/>
      <c r="V51" s="165"/>
      <c r="W51" s="165"/>
      <c r="X51" s="165"/>
      <c r="Y51" s="165"/>
      <c r="Z51" s="165"/>
      <c r="AA51" s="165"/>
      <c r="AB51" s="165"/>
      <c r="AC51" s="165"/>
      <c r="AD51" s="145"/>
      <c r="AV51" s="145"/>
    </row>
    <row r="52" spans="1:58" ht="30" customHeight="1" thickBot="1" x14ac:dyDescent="0.25">
      <c r="A52" s="159"/>
      <c r="B52" s="145"/>
      <c r="C52" s="1257"/>
      <c r="D52" s="1258"/>
      <c r="E52" s="1258"/>
      <c r="F52" s="1258"/>
      <c r="G52" s="1258"/>
      <c r="H52" s="1258"/>
      <c r="I52" s="1258"/>
      <c r="J52" s="1258"/>
      <c r="K52" s="1258"/>
      <c r="L52" s="1258"/>
      <c r="M52" s="1258"/>
      <c r="N52" s="1258"/>
      <c r="O52" s="1258"/>
      <c r="P52" s="1258"/>
      <c r="Q52" s="1258"/>
      <c r="R52" s="1258"/>
      <c r="S52" s="1258"/>
      <c r="T52" s="1259"/>
      <c r="U52" s="165"/>
      <c r="V52" s="165"/>
      <c r="W52" s="165"/>
      <c r="X52" s="165"/>
      <c r="Y52" s="165"/>
      <c r="Z52" s="165"/>
      <c r="AA52" s="165"/>
      <c r="AB52" s="165"/>
      <c r="AC52" s="165"/>
      <c r="AD52" s="145"/>
      <c r="AV52" s="145"/>
    </row>
    <row r="53" spans="1:58" ht="30" customHeight="1" thickBot="1" x14ac:dyDescent="0.25">
      <c r="A53" s="159"/>
      <c r="B53" s="145"/>
      <c r="C53" s="1227" t="s">
        <v>504</v>
      </c>
      <c r="D53" s="1228"/>
      <c r="E53" s="1228"/>
      <c r="F53" s="1228"/>
      <c r="G53" s="1228"/>
      <c r="H53" s="1228"/>
      <c r="I53" s="1228"/>
      <c r="J53" s="1228"/>
      <c r="K53" s="1228"/>
      <c r="L53" s="1228"/>
      <c r="M53" s="1228"/>
      <c r="N53" s="1228"/>
      <c r="O53" s="1228"/>
      <c r="P53" s="1228"/>
      <c r="Q53" s="1228"/>
      <c r="R53" s="1228"/>
      <c r="S53" s="1228"/>
      <c r="T53" s="1229"/>
      <c r="U53" s="165"/>
      <c r="V53" s="165"/>
      <c r="W53" s="165"/>
      <c r="X53" s="165"/>
      <c r="Y53" s="165"/>
      <c r="Z53" s="165"/>
      <c r="AA53" s="165"/>
      <c r="AB53" s="165"/>
      <c r="AC53" s="165"/>
      <c r="AD53" s="145"/>
      <c r="AV53" s="145"/>
      <c r="AW53" s="145"/>
      <c r="AX53" s="145"/>
      <c r="AY53" s="145"/>
      <c r="AZ53" s="145"/>
      <c r="BA53" s="145"/>
      <c r="BB53" s="145"/>
      <c r="BC53" s="145"/>
      <c r="BD53" s="145"/>
      <c r="BE53" s="145"/>
      <c r="BF53" s="145"/>
    </row>
    <row r="54" spans="1:58" ht="54" customHeight="1" thickBot="1" x14ac:dyDescent="0.25">
      <c r="A54" s="159"/>
      <c r="B54" s="145"/>
      <c r="C54" s="170"/>
      <c r="D54" s="523" t="s">
        <v>37</v>
      </c>
      <c r="E54" s="524" t="s">
        <v>235</v>
      </c>
      <c r="F54" s="523" t="s">
        <v>544</v>
      </c>
      <c r="G54" s="523" t="s">
        <v>161</v>
      </c>
      <c r="H54" s="523" t="s">
        <v>206</v>
      </c>
      <c r="I54" s="523" t="s">
        <v>159</v>
      </c>
      <c r="J54" s="523" t="s">
        <v>207</v>
      </c>
      <c r="K54" s="525" t="s">
        <v>160</v>
      </c>
      <c r="L54" s="526" t="s">
        <v>247</v>
      </c>
      <c r="M54" s="152"/>
      <c r="N54" s="152"/>
      <c r="O54" s="1293" t="s">
        <v>295</v>
      </c>
      <c r="P54" s="1295" t="s">
        <v>159</v>
      </c>
      <c r="Q54" s="1296"/>
      <c r="R54" s="1297"/>
      <c r="S54" s="1353" t="s">
        <v>160</v>
      </c>
      <c r="T54" s="1187" t="s">
        <v>247</v>
      </c>
      <c r="U54" s="165"/>
      <c r="V54" s="165"/>
      <c r="W54" s="165"/>
      <c r="X54" s="165"/>
      <c r="Y54" s="165"/>
      <c r="Z54" s="165"/>
      <c r="AA54" s="165"/>
      <c r="AB54" s="165"/>
      <c r="AC54" s="165"/>
      <c r="AD54" s="145"/>
      <c r="AV54" s="145"/>
      <c r="AW54" s="145"/>
      <c r="AX54" s="145"/>
      <c r="AY54" s="145"/>
      <c r="AZ54" s="145"/>
      <c r="BA54" s="145"/>
      <c r="BB54" s="145"/>
      <c r="BC54" s="145"/>
      <c r="BD54" s="145"/>
      <c r="BE54" s="145"/>
      <c r="BF54" s="145"/>
    </row>
    <row r="55" spans="1:58" ht="30" customHeight="1" thickBot="1" x14ac:dyDescent="0.25">
      <c r="A55" s="177"/>
      <c r="B55" s="178"/>
      <c r="C55" s="178"/>
      <c r="D55" s="178"/>
      <c r="E55" s="527"/>
      <c r="F55" s="527"/>
      <c r="G55" s="527"/>
      <c r="H55" s="527"/>
      <c r="I55" s="527"/>
      <c r="J55" s="527"/>
      <c r="K55" s="528"/>
      <c r="L55" s="529"/>
      <c r="M55" s="152"/>
      <c r="N55" s="152"/>
      <c r="O55" s="1294"/>
      <c r="P55" s="1298"/>
      <c r="Q55" s="1299"/>
      <c r="R55" s="1300"/>
      <c r="S55" s="1354"/>
      <c r="T55" s="1188"/>
      <c r="U55" s="165"/>
      <c r="V55" s="165"/>
      <c r="W55" s="165"/>
      <c r="X55" s="165"/>
      <c r="Y55" s="165"/>
      <c r="Z55" s="165"/>
      <c r="AA55" s="165"/>
      <c r="AB55" s="165"/>
      <c r="AC55" s="165"/>
      <c r="AD55" s="145"/>
      <c r="AV55" s="145"/>
      <c r="AW55" s="145"/>
      <c r="AX55" s="145"/>
      <c r="AY55" s="145"/>
      <c r="AZ55" s="145"/>
      <c r="BA55" s="145"/>
      <c r="BB55" s="145"/>
      <c r="BC55" s="145"/>
      <c r="BD55" s="145"/>
      <c r="BE55" s="145"/>
      <c r="BF55" s="145"/>
    </row>
    <row r="56" spans="1:58" ht="30" customHeight="1" thickBot="1" x14ac:dyDescent="0.25">
      <c r="A56" s="1283" t="s">
        <v>28</v>
      </c>
      <c r="B56" s="1284"/>
      <c r="C56" s="1276" t="s">
        <v>293</v>
      </c>
      <c r="D56" s="1288" t="s">
        <v>240</v>
      </c>
      <c r="E56" s="1289" t="s">
        <v>429</v>
      </c>
      <c r="F56" s="1065">
        <v>15.4</v>
      </c>
      <c r="G56" s="1066">
        <v>0.1</v>
      </c>
      <c r="H56" s="1067">
        <v>-0.1</v>
      </c>
      <c r="I56" s="1068">
        <v>0.3</v>
      </c>
      <c r="J56" s="1261">
        <v>2</v>
      </c>
      <c r="K56" s="1264">
        <v>43606</v>
      </c>
      <c r="L56" s="1273" t="s">
        <v>415</v>
      </c>
      <c r="M56" s="152"/>
      <c r="N56" s="152"/>
      <c r="O56" s="146"/>
      <c r="P56" s="164"/>
      <c r="Q56" s="164"/>
      <c r="R56" s="164"/>
      <c r="S56" s="179"/>
      <c r="T56" s="180"/>
      <c r="U56" s="165"/>
      <c r="V56" s="165"/>
      <c r="W56" s="165"/>
      <c r="X56" s="165"/>
      <c r="Y56" s="165"/>
      <c r="Z56" s="165"/>
      <c r="AA56" s="165"/>
      <c r="AB56" s="165"/>
      <c r="AC56" s="165"/>
      <c r="AD56" s="145"/>
      <c r="AV56" s="145"/>
      <c r="AW56" s="145"/>
      <c r="AX56" s="145"/>
      <c r="AY56" s="145"/>
      <c r="AZ56" s="145"/>
      <c r="BA56" s="145"/>
      <c r="BB56" s="145"/>
      <c r="BC56" s="145"/>
      <c r="BD56" s="145"/>
      <c r="BE56" s="145"/>
      <c r="BF56" s="145"/>
    </row>
    <row r="57" spans="1:58" ht="30" customHeight="1" x14ac:dyDescent="0.2">
      <c r="A57" s="1285"/>
      <c r="B57" s="1284"/>
      <c r="C57" s="1276"/>
      <c r="D57" s="1288"/>
      <c r="E57" s="1250"/>
      <c r="F57" s="1069">
        <v>24.7</v>
      </c>
      <c r="G57" s="1070">
        <v>0.1</v>
      </c>
      <c r="H57" s="1071">
        <v>0</v>
      </c>
      <c r="I57" s="1072">
        <v>0.3</v>
      </c>
      <c r="J57" s="1261"/>
      <c r="K57" s="1264"/>
      <c r="L57" s="1273"/>
      <c r="M57" s="152"/>
      <c r="N57" s="152"/>
      <c r="O57" s="1116"/>
      <c r="P57" s="1117" t="s">
        <v>3</v>
      </c>
      <c r="Q57" s="1118" t="s">
        <v>486</v>
      </c>
      <c r="R57" s="1118" t="s">
        <v>16</v>
      </c>
      <c r="S57" s="1189" t="s">
        <v>427</v>
      </c>
      <c r="T57" s="1271" t="s">
        <v>428</v>
      </c>
      <c r="U57" s="165"/>
      <c r="V57" s="165"/>
      <c r="W57" s="165"/>
      <c r="X57" s="165"/>
      <c r="Y57" s="165"/>
      <c r="Z57" s="165"/>
      <c r="AA57" s="165"/>
      <c r="AB57" s="165"/>
      <c r="AC57" s="165"/>
      <c r="AD57" s="145"/>
      <c r="AV57" s="145"/>
      <c r="AW57" s="145"/>
      <c r="AX57" s="145"/>
      <c r="AY57" s="145"/>
      <c r="AZ57" s="145"/>
      <c r="BA57" s="145"/>
      <c r="BB57" s="145"/>
      <c r="BC57" s="145"/>
      <c r="BD57" s="145"/>
      <c r="BE57" s="145"/>
      <c r="BF57" s="145"/>
    </row>
    <row r="58" spans="1:58" ht="30" customHeight="1" thickBot="1" x14ac:dyDescent="0.25">
      <c r="A58" s="1286"/>
      <c r="B58" s="1287"/>
      <c r="C58" s="1276"/>
      <c r="D58" s="1288"/>
      <c r="E58" s="1250"/>
      <c r="F58" s="1073">
        <v>29.4</v>
      </c>
      <c r="G58" s="1074">
        <v>0.1</v>
      </c>
      <c r="H58" s="1075">
        <v>0</v>
      </c>
      <c r="I58" s="1076">
        <v>0.3</v>
      </c>
      <c r="J58" s="1262"/>
      <c r="K58" s="1265"/>
      <c r="L58" s="1274"/>
      <c r="M58" s="152"/>
      <c r="N58" s="152"/>
      <c r="O58" s="1224" t="s">
        <v>296</v>
      </c>
      <c r="P58" s="1119">
        <f>MAX(I56:I58)</f>
        <v>0.3</v>
      </c>
      <c r="Q58" s="1119">
        <f>MAX(I59:I61)</f>
        <v>1.7</v>
      </c>
      <c r="R58" s="1119">
        <f>MAX(I62:I64)</f>
        <v>0.31</v>
      </c>
      <c r="S58" s="1190"/>
      <c r="T58" s="1204"/>
      <c r="U58" s="165"/>
      <c r="V58" s="165"/>
      <c r="W58" s="165"/>
      <c r="X58" s="165"/>
      <c r="Y58" s="165"/>
      <c r="Z58" s="165"/>
      <c r="AA58" s="165"/>
      <c r="AB58" s="165"/>
      <c r="AC58" s="165"/>
      <c r="AD58" s="145"/>
      <c r="AV58" s="145"/>
      <c r="AW58" s="145"/>
      <c r="AX58" s="145"/>
      <c r="AY58" s="145"/>
      <c r="AZ58" s="145"/>
      <c r="BA58" s="145"/>
      <c r="BB58" s="145"/>
      <c r="BC58" s="145"/>
      <c r="BD58" s="145"/>
      <c r="BE58" s="145"/>
      <c r="BF58" s="145"/>
    </row>
    <row r="59" spans="1:58" ht="30" customHeight="1" thickBot="1" x14ac:dyDescent="0.25">
      <c r="A59" s="1302" t="s">
        <v>294</v>
      </c>
      <c r="B59" s="1303"/>
      <c r="C59" s="1276"/>
      <c r="D59" s="1288"/>
      <c r="E59" s="1250"/>
      <c r="F59" s="1065">
        <v>33.200000000000003</v>
      </c>
      <c r="G59" s="1066">
        <v>0.1</v>
      </c>
      <c r="H59" s="1066">
        <v>-3.2</v>
      </c>
      <c r="I59" s="1077">
        <v>1.7</v>
      </c>
      <c r="J59" s="1260">
        <v>2</v>
      </c>
      <c r="K59" s="1263">
        <v>43608</v>
      </c>
      <c r="L59" s="1272" t="s">
        <v>416</v>
      </c>
      <c r="M59" s="152"/>
      <c r="N59" s="152"/>
      <c r="O59" s="1225"/>
      <c r="P59" s="1120"/>
      <c r="Q59" s="1121"/>
      <c r="R59" s="1121"/>
      <c r="S59" s="1191"/>
      <c r="T59" s="1235"/>
      <c r="U59" s="165"/>
      <c r="V59" s="165"/>
      <c r="W59" s="165"/>
      <c r="X59" s="165"/>
      <c r="Y59" s="165"/>
      <c r="Z59" s="165"/>
      <c r="AA59" s="165"/>
      <c r="AB59" s="165"/>
      <c r="AC59" s="165"/>
      <c r="AD59" s="145"/>
      <c r="AV59" s="145"/>
      <c r="AW59" s="145"/>
      <c r="AX59" s="145"/>
      <c r="AY59" s="145"/>
      <c r="AZ59" s="145"/>
      <c r="BA59" s="145"/>
      <c r="BB59" s="145"/>
      <c r="BC59" s="145"/>
      <c r="BD59" s="145"/>
      <c r="BE59" s="145"/>
      <c r="BF59" s="145"/>
    </row>
    <row r="60" spans="1:58" ht="30" customHeight="1" x14ac:dyDescent="0.2">
      <c r="A60" s="1283"/>
      <c r="B60" s="1301"/>
      <c r="C60" s="1276"/>
      <c r="D60" s="1288"/>
      <c r="E60" s="1250"/>
      <c r="F60" s="1078">
        <v>51.2</v>
      </c>
      <c r="G60" s="1070">
        <v>0.1</v>
      </c>
      <c r="H60" s="1079">
        <v>-1.2</v>
      </c>
      <c r="I60" s="1072">
        <v>1.7</v>
      </c>
      <c r="J60" s="1261"/>
      <c r="K60" s="1264"/>
      <c r="L60" s="1273"/>
      <c r="M60" s="152"/>
      <c r="N60" s="152"/>
      <c r="O60" s="318"/>
      <c r="P60" s="145"/>
      <c r="Q60" s="451"/>
      <c r="R60" s="165"/>
      <c r="S60" s="165"/>
      <c r="T60" s="530"/>
      <c r="U60" s="165"/>
      <c r="V60" s="165"/>
      <c r="W60" s="165"/>
      <c r="X60" s="165"/>
      <c r="Y60" s="165"/>
      <c r="Z60" s="165"/>
      <c r="AA60" s="165"/>
      <c r="AB60" s="165"/>
      <c r="AC60" s="165"/>
      <c r="AD60" s="145"/>
      <c r="AV60" s="145"/>
      <c r="AW60" s="145"/>
      <c r="AX60" s="145"/>
      <c r="AY60" s="145"/>
      <c r="AZ60" s="145"/>
      <c r="BA60" s="145"/>
      <c r="BB60" s="145"/>
      <c r="BC60" s="145"/>
      <c r="BD60" s="145"/>
      <c r="BE60" s="145"/>
      <c r="BF60" s="145"/>
    </row>
    <row r="61" spans="1:58" ht="30" customHeight="1" thickBot="1" x14ac:dyDescent="0.25">
      <c r="A61" s="1304"/>
      <c r="B61" s="1305"/>
      <c r="C61" s="1276"/>
      <c r="D61" s="1288"/>
      <c r="E61" s="1250"/>
      <c r="F61" s="1080">
        <v>77.2</v>
      </c>
      <c r="G61" s="1074">
        <v>0.1</v>
      </c>
      <c r="H61" s="1081">
        <v>2.8</v>
      </c>
      <c r="I61" s="1076">
        <v>1.7</v>
      </c>
      <c r="J61" s="1262"/>
      <c r="K61" s="1265"/>
      <c r="L61" s="1274"/>
      <c r="M61" s="152"/>
      <c r="N61" s="152"/>
      <c r="O61" s="318"/>
      <c r="P61" s="145"/>
      <c r="Q61" s="451"/>
      <c r="R61" s="165"/>
      <c r="S61" s="165"/>
      <c r="T61" s="530"/>
      <c r="U61" s="165"/>
      <c r="V61" s="165"/>
      <c r="W61" s="165"/>
      <c r="X61" s="165"/>
      <c r="Y61" s="165"/>
      <c r="Z61" s="165"/>
      <c r="AA61" s="165"/>
      <c r="AB61" s="165"/>
      <c r="AC61" s="165"/>
      <c r="AD61" s="145"/>
      <c r="AV61" s="145"/>
      <c r="AW61" s="145"/>
      <c r="AX61" s="145"/>
      <c r="AY61" s="145"/>
      <c r="AZ61" s="145"/>
      <c r="BA61" s="145"/>
      <c r="BB61" s="145"/>
      <c r="BC61" s="145"/>
      <c r="BD61" s="145"/>
      <c r="BE61" s="145"/>
      <c r="BF61" s="145"/>
    </row>
    <row r="62" spans="1:58" ht="30" customHeight="1" x14ac:dyDescent="0.2">
      <c r="A62" s="1283" t="s">
        <v>77</v>
      </c>
      <c r="B62" s="1301"/>
      <c r="C62" s="1276"/>
      <c r="D62" s="1288"/>
      <c r="E62" s="1251"/>
      <c r="F62" s="1065">
        <v>698.2</v>
      </c>
      <c r="G62" s="1066">
        <v>0.1</v>
      </c>
      <c r="H62" s="1082">
        <v>-1</v>
      </c>
      <c r="I62" s="1077">
        <v>9.2999999999999999E-2</v>
      </c>
      <c r="J62" s="1260">
        <v>2</v>
      </c>
      <c r="K62" s="1263">
        <v>43600</v>
      </c>
      <c r="L62" s="1268" t="s">
        <v>417</v>
      </c>
      <c r="M62" s="152"/>
      <c r="N62" s="152"/>
      <c r="O62" s="318"/>
      <c r="P62" s="145"/>
      <c r="Q62" s="451"/>
      <c r="R62" s="165"/>
      <c r="S62" s="165"/>
      <c r="T62" s="530"/>
      <c r="U62" s="165"/>
      <c r="V62" s="165"/>
      <c r="W62" s="165"/>
      <c r="X62" s="165"/>
      <c r="Y62" s="165"/>
      <c r="Z62" s="165"/>
      <c r="AA62" s="165"/>
      <c r="AB62" s="165"/>
      <c r="AC62" s="165"/>
      <c r="AD62" s="145"/>
      <c r="AV62" s="145"/>
      <c r="AW62" s="145"/>
      <c r="AX62" s="145"/>
      <c r="AY62" s="145"/>
      <c r="AZ62" s="145"/>
      <c r="BA62" s="145"/>
      <c r="BB62" s="145"/>
      <c r="BC62" s="145"/>
      <c r="BD62" s="145"/>
      <c r="BE62" s="145"/>
      <c r="BF62" s="145"/>
    </row>
    <row r="63" spans="1:58" ht="30" customHeight="1" x14ac:dyDescent="0.2">
      <c r="A63" s="1283"/>
      <c r="B63" s="1301"/>
      <c r="C63" s="1276"/>
      <c r="D63" s="1288"/>
      <c r="E63" s="1251"/>
      <c r="F63" s="1069">
        <v>798.4</v>
      </c>
      <c r="G63" s="1083">
        <v>0.1</v>
      </c>
      <c r="H63" s="1084">
        <v>-0.77</v>
      </c>
      <c r="I63" s="1072">
        <v>0.14000000000000001</v>
      </c>
      <c r="J63" s="1261"/>
      <c r="K63" s="1264"/>
      <c r="L63" s="1269"/>
      <c r="M63" s="152"/>
      <c r="N63" s="152"/>
      <c r="O63" s="318"/>
      <c r="P63" s="145"/>
      <c r="Q63" s="451"/>
      <c r="R63" s="165"/>
      <c r="S63" s="165"/>
      <c r="T63" s="530"/>
      <c r="U63" s="165"/>
      <c r="V63" s="165"/>
      <c r="W63" s="165"/>
      <c r="X63" s="165"/>
      <c r="Y63" s="165"/>
      <c r="Z63" s="165"/>
      <c r="AA63" s="165"/>
      <c r="AB63" s="165"/>
      <c r="AC63" s="165"/>
      <c r="AD63" s="145"/>
      <c r="AV63" s="145"/>
      <c r="AW63" s="145"/>
      <c r="AX63" s="145"/>
      <c r="AY63" s="145"/>
      <c r="AZ63" s="145"/>
      <c r="BA63" s="145"/>
      <c r="BB63" s="145"/>
      <c r="BC63" s="145"/>
      <c r="BD63" s="145"/>
      <c r="BE63" s="145"/>
      <c r="BF63" s="145"/>
    </row>
    <row r="64" spans="1:58" ht="30" customHeight="1" thickBot="1" x14ac:dyDescent="0.25">
      <c r="A64" s="1283"/>
      <c r="B64" s="1301"/>
      <c r="C64" s="1276"/>
      <c r="D64" s="1288"/>
      <c r="E64" s="1251"/>
      <c r="F64" s="1073">
        <v>848.7</v>
      </c>
      <c r="G64" s="1081">
        <v>0.1</v>
      </c>
      <c r="H64" s="1085">
        <v>-0.78</v>
      </c>
      <c r="I64" s="1076">
        <v>0.31</v>
      </c>
      <c r="J64" s="1267"/>
      <c r="K64" s="1266"/>
      <c r="L64" s="1270"/>
      <c r="M64" s="152"/>
      <c r="N64" s="152"/>
      <c r="O64" s="318"/>
      <c r="P64" s="145"/>
      <c r="Q64" s="451"/>
      <c r="R64" s="165"/>
      <c r="S64" s="165"/>
      <c r="T64" s="530"/>
      <c r="U64" s="165"/>
      <c r="V64" s="165"/>
      <c r="W64" s="165"/>
      <c r="X64" s="165"/>
      <c r="Y64" s="165"/>
      <c r="Z64" s="165"/>
      <c r="AA64" s="165"/>
      <c r="AB64" s="165"/>
      <c r="AC64" s="165"/>
      <c r="AD64" s="145"/>
      <c r="AV64" s="145"/>
      <c r="AW64" s="145"/>
      <c r="AX64" s="145"/>
      <c r="AY64" s="145"/>
      <c r="AZ64" s="145"/>
      <c r="BA64" s="145"/>
      <c r="BB64" s="145"/>
      <c r="BC64" s="145"/>
      <c r="BD64" s="145"/>
      <c r="BE64" s="145"/>
      <c r="BF64" s="145"/>
    </row>
    <row r="65" spans="1:58" ht="30" customHeight="1" x14ac:dyDescent="0.2">
      <c r="A65" s="154"/>
      <c r="B65" s="531"/>
      <c r="C65" s="532"/>
      <c r="D65" s="176"/>
      <c r="E65" s="533"/>
      <c r="F65" s="156"/>
      <c r="G65" s="156"/>
      <c r="H65" s="156"/>
      <c r="I65" s="156"/>
      <c r="J65" s="156"/>
      <c r="K65" s="534"/>
      <c r="L65" s="535"/>
      <c r="M65" s="152"/>
      <c r="N65" s="152"/>
      <c r="O65" s="318"/>
      <c r="P65" s="145"/>
      <c r="Q65" s="451"/>
      <c r="R65" s="165"/>
      <c r="S65" s="165"/>
      <c r="T65" s="530"/>
      <c r="U65" s="165"/>
      <c r="V65" s="165"/>
      <c r="W65" s="165"/>
      <c r="X65" s="165"/>
      <c r="Y65" s="165"/>
      <c r="Z65" s="165"/>
      <c r="AA65" s="165"/>
      <c r="AB65" s="165"/>
      <c r="AC65" s="165"/>
      <c r="AD65" s="145"/>
      <c r="AV65" s="145"/>
      <c r="AW65" s="145"/>
      <c r="AX65" s="145"/>
      <c r="AY65" s="145"/>
      <c r="AZ65" s="145"/>
      <c r="BA65" s="145"/>
      <c r="BB65" s="145"/>
      <c r="BC65" s="145"/>
      <c r="BD65" s="145"/>
      <c r="BE65" s="145"/>
      <c r="BF65" s="145"/>
    </row>
    <row r="66" spans="1:58" ht="30" customHeight="1" thickBot="1" x14ac:dyDescent="0.25">
      <c r="A66" s="173"/>
      <c r="B66" s="536"/>
      <c r="C66" s="537"/>
      <c r="D66" s="167"/>
      <c r="E66" s="538"/>
      <c r="F66" s="539"/>
      <c r="G66" s="539"/>
      <c r="H66" s="539"/>
      <c r="I66" s="539"/>
      <c r="J66" s="466"/>
      <c r="K66" s="540"/>
      <c r="L66" s="161"/>
      <c r="M66" s="152"/>
      <c r="N66" s="152"/>
      <c r="O66" s="318"/>
      <c r="P66" s="145"/>
      <c r="Q66" s="451"/>
      <c r="R66" s="165"/>
      <c r="S66" s="165"/>
      <c r="T66" s="530"/>
      <c r="U66" s="165"/>
      <c r="V66" s="165"/>
      <c r="W66" s="165"/>
      <c r="X66" s="165"/>
      <c r="Y66" s="165"/>
      <c r="Z66" s="165"/>
      <c r="AA66" s="165"/>
      <c r="AB66" s="165"/>
      <c r="AC66" s="165"/>
      <c r="AD66" s="145"/>
      <c r="AV66" s="145"/>
      <c r="AW66" s="145"/>
      <c r="AX66" s="145"/>
      <c r="AY66" s="145"/>
      <c r="AZ66" s="145"/>
      <c r="BA66" s="145"/>
      <c r="BB66" s="145"/>
      <c r="BC66" s="145"/>
      <c r="BD66" s="145"/>
      <c r="BE66" s="145"/>
      <c r="BF66" s="145"/>
    </row>
    <row r="67" spans="1:58" ht="30" customHeight="1" x14ac:dyDescent="0.2">
      <c r="A67" s="1306" t="s">
        <v>28</v>
      </c>
      <c r="B67" s="1307"/>
      <c r="C67" s="1275" t="s">
        <v>297</v>
      </c>
      <c r="D67" s="1312" t="s">
        <v>240</v>
      </c>
      <c r="E67" s="1249" t="s">
        <v>432</v>
      </c>
      <c r="F67" s="1086">
        <v>15.5</v>
      </c>
      <c r="G67" s="1066">
        <v>0.1</v>
      </c>
      <c r="H67" s="1066">
        <v>-0.2</v>
      </c>
      <c r="I67" s="1087">
        <v>0.3</v>
      </c>
      <c r="J67" s="1233">
        <v>2</v>
      </c>
      <c r="K67" s="1226">
        <v>43606</v>
      </c>
      <c r="L67" s="1234" t="s">
        <v>418</v>
      </c>
      <c r="M67" s="152"/>
      <c r="N67" s="152"/>
      <c r="O67" s="1122"/>
      <c r="P67" s="1123" t="s">
        <v>3</v>
      </c>
      <c r="Q67" s="1124" t="s">
        <v>486</v>
      </c>
      <c r="R67" s="1124" t="s">
        <v>16</v>
      </c>
      <c r="S67" s="1226" t="s">
        <v>430</v>
      </c>
      <c r="T67" s="1234" t="s">
        <v>431</v>
      </c>
      <c r="U67" s="165"/>
      <c r="V67" s="165"/>
      <c r="W67" s="165"/>
      <c r="X67" s="165"/>
      <c r="Y67" s="165"/>
      <c r="Z67" s="165"/>
      <c r="AA67" s="165"/>
      <c r="AB67" s="165"/>
      <c r="AC67" s="165"/>
      <c r="AD67" s="145"/>
      <c r="AV67" s="145"/>
      <c r="AW67" s="145"/>
      <c r="AX67" s="145"/>
      <c r="AY67" s="145"/>
      <c r="AZ67" s="145"/>
      <c r="BA67" s="145"/>
      <c r="BB67" s="145"/>
      <c r="BC67" s="145"/>
      <c r="BD67" s="145"/>
      <c r="BE67" s="145"/>
      <c r="BF67" s="145"/>
    </row>
    <row r="68" spans="1:58" ht="30" customHeight="1" x14ac:dyDescent="0.2">
      <c r="A68" s="1308"/>
      <c r="B68" s="1309"/>
      <c r="C68" s="1276"/>
      <c r="D68" s="1251"/>
      <c r="E68" s="1250"/>
      <c r="F68" s="1069">
        <v>24.6</v>
      </c>
      <c r="G68" s="1083">
        <v>0.1</v>
      </c>
      <c r="H68" s="1083">
        <v>0.1</v>
      </c>
      <c r="I68" s="1088">
        <v>0.3</v>
      </c>
      <c r="J68" s="1202"/>
      <c r="K68" s="1203"/>
      <c r="L68" s="1205"/>
      <c r="M68" s="152"/>
      <c r="N68" s="152"/>
      <c r="O68" s="1224" t="s">
        <v>298</v>
      </c>
      <c r="P68" s="1119">
        <f>MAX(I66:I69)</f>
        <v>0.4</v>
      </c>
      <c r="Q68" s="1125">
        <f>MAX(I70:I72)</f>
        <v>1.7</v>
      </c>
      <c r="R68" s="1126">
        <f>MAX(I73:I75)</f>
        <v>0.56999999999999995</v>
      </c>
      <c r="S68" s="1190"/>
      <c r="T68" s="1204"/>
      <c r="U68" s="165"/>
      <c r="V68" s="165"/>
      <c r="W68" s="165"/>
      <c r="X68" s="165"/>
      <c r="Y68" s="165"/>
      <c r="Z68" s="165"/>
      <c r="AA68" s="165"/>
      <c r="AB68" s="165"/>
      <c r="AC68" s="165"/>
      <c r="AD68" s="145"/>
      <c r="AV68" s="145"/>
      <c r="AW68" s="145"/>
      <c r="AX68" s="145"/>
      <c r="AY68" s="145"/>
      <c r="AZ68" s="145"/>
      <c r="BA68" s="145"/>
      <c r="BB68" s="145"/>
      <c r="BC68" s="145"/>
      <c r="BD68" s="145"/>
      <c r="BE68" s="145"/>
      <c r="BF68" s="145"/>
    </row>
    <row r="69" spans="1:58" ht="30" customHeight="1" thickBot="1" x14ac:dyDescent="0.25">
      <c r="A69" s="1310"/>
      <c r="B69" s="1311"/>
      <c r="C69" s="1276"/>
      <c r="D69" s="1251"/>
      <c r="E69" s="1250"/>
      <c r="F69" s="1080">
        <v>33.9</v>
      </c>
      <c r="G69" s="1081">
        <v>0.1</v>
      </c>
      <c r="H69" s="1081">
        <v>0.3</v>
      </c>
      <c r="I69" s="1089">
        <v>0.4</v>
      </c>
      <c r="J69" s="1202"/>
      <c r="K69" s="1203"/>
      <c r="L69" s="1205"/>
      <c r="M69" s="152"/>
      <c r="N69" s="152"/>
      <c r="O69" s="1225"/>
      <c r="P69" s="1120"/>
      <c r="Q69" s="1121"/>
      <c r="R69" s="1121"/>
      <c r="S69" s="1191"/>
      <c r="T69" s="1235"/>
      <c r="U69" s="165"/>
      <c r="V69" s="165"/>
      <c r="W69" s="165"/>
      <c r="X69" s="165"/>
      <c r="Y69" s="165"/>
      <c r="Z69" s="165"/>
      <c r="AA69" s="165"/>
      <c r="AB69" s="165"/>
      <c r="AC69" s="165"/>
      <c r="AD69" s="145"/>
      <c r="AV69" s="145"/>
      <c r="AW69" s="145"/>
      <c r="AX69" s="145"/>
      <c r="AY69" s="145"/>
      <c r="AZ69" s="145"/>
      <c r="BA69" s="145"/>
      <c r="BB69" s="145"/>
      <c r="BC69" s="145"/>
      <c r="BD69" s="145"/>
      <c r="BE69" s="145"/>
      <c r="BF69" s="145"/>
    </row>
    <row r="70" spans="1:58" ht="30" customHeight="1" x14ac:dyDescent="0.2">
      <c r="A70" s="1302" t="s">
        <v>294</v>
      </c>
      <c r="B70" s="1303"/>
      <c r="C70" s="1276"/>
      <c r="D70" s="1251"/>
      <c r="E70" s="1250"/>
      <c r="F70" s="1065">
        <v>32.700000000000003</v>
      </c>
      <c r="G70" s="1090">
        <v>0.1</v>
      </c>
      <c r="H70" s="1090">
        <v>-2.7</v>
      </c>
      <c r="I70" s="1091">
        <v>1.7</v>
      </c>
      <c r="J70" s="1241">
        <v>2</v>
      </c>
      <c r="K70" s="1190">
        <v>43608</v>
      </c>
      <c r="L70" s="1204" t="s">
        <v>419</v>
      </c>
      <c r="M70" s="152"/>
      <c r="N70" s="152"/>
      <c r="O70" s="1127"/>
      <c r="P70" s="1128"/>
      <c r="Q70" s="1129"/>
      <c r="R70" s="1129"/>
      <c r="S70" s="1129"/>
      <c r="T70" s="1130"/>
      <c r="U70" s="165"/>
      <c r="V70" s="165"/>
      <c r="W70" s="165"/>
      <c r="X70" s="165"/>
      <c r="Y70" s="165"/>
      <c r="Z70" s="165"/>
      <c r="AA70" s="165"/>
      <c r="AB70" s="165"/>
      <c r="AC70" s="165"/>
      <c r="AD70" s="145"/>
      <c r="AV70" s="145"/>
      <c r="AW70" s="145"/>
      <c r="AX70" s="145"/>
      <c r="AY70" s="145"/>
      <c r="AZ70" s="145"/>
      <c r="BA70" s="145"/>
      <c r="BB70" s="145"/>
      <c r="BC70" s="145"/>
      <c r="BD70" s="145"/>
      <c r="BE70" s="145"/>
      <c r="BF70" s="145"/>
    </row>
    <row r="71" spans="1:58" ht="30" customHeight="1" x14ac:dyDescent="0.2">
      <c r="A71" s="1283"/>
      <c r="B71" s="1301"/>
      <c r="C71" s="1276"/>
      <c r="D71" s="1251"/>
      <c r="E71" s="1250"/>
      <c r="F71" s="1069">
        <v>50.7</v>
      </c>
      <c r="G71" s="1092">
        <v>0.1</v>
      </c>
      <c r="H71" s="1092">
        <v>-0.7</v>
      </c>
      <c r="I71" s="1093">
        <v>1.7</v>
      </c>
      <c r="J71" s="1202"/>
      <c r="K71" s="1203"/>
      <c r="L71" s="1205"/>
      <c r="M71" s="152"/>
      <c r="N71" s="152"/>
      <c r="O71" s="318"/>
      <c r="P71" s="145"/>
      <c r="Q71" s="451"/>
      <c r="R71" s="165"/>
      <c r="S71" s="165"/>
      <c r="T71" s="530"/>
      <c r="U71" s="165"/>
      <c r="V71" s="165"/>
      <c r="W71" s="165"/>
      <c r="X71" s="165"/>
      <c r="Y71" s="165"/>
      <c r="Z71" s="165"/>
      <c r="AA71" s="165"/>
      <c r="AB71" s="165"/>
      <c r="AC71" s="165"/>
      <c r="AD71" s="145"/>
      <c r="AV71" s="145"/>
      <c r="AW71" s="145"/>
      <c r="AX71" s="145"/>
      <c r="AY71" s="145"/>
      <c r="AZ71" s="145"/>
      <c r="BA71" s="145"/>
      <c r="BB71" s="145"/>
      <c r="BC71" s="145"/>
      <c r="BD71" s="145"/>
      <c r="BE71" s="145"/>
      <c r="BF71" s="145"/>
    </row>
    <row r="72" spans="1:58" ht="30" customHeight="1" thickBot="1" x14ac:dyDescent="0.25">
      <c r="A72" s="1304"/>
      <c r="B72" s="1305"/>
      <c r="C72" s="1276"/>
      <c r="D72" s="1251"/>
      <c r="E72" s="1250"/>
      <c r="F72" s="1080">
        <v>68.099999999999994</v>
      </c>
      <c r="G72" s="1094">
        <v>0.1</v>
      </c>
      <c r="H72" s="1094">
        <v>1.8</v>
      </c>
      <c r="I72" s="1095">
        <v>1.7</v>
      </c>
      <c r="J72" s="1202"/>
      <c r="K72" s="1203"/>
      <c r="L72" s="1205"/>
      <c r="M72" s="152"/>
      <c r="N72" s="152"/>
      <c r="O72" s="318"/>
      <c r="P72" s="145"/>
      <c r="Q72" s="451"/>
      <c r="R72" s="165"/>
      <c r="S72" s="165"/>
      <c r="T72" s="530"/>
      <c r="U72" s="165"/>
      <c r="V72" s="165"/>
      <c r="W72" s="165"/>
      <c r="X72" s="165"/>
      <c r="Y72" s="165"/>
      <c r="Z72" s="165"/>
      <c r="AA72" s="165"/>
      <c r="AB72" s="165"/>
      <c r="AC72" s="165"/>
      <c r="AD72" s="145"/>
      <c r="AV72" s="145"/>
      <c r="AW72" s="145"/>
      <c r="AX72" s="145"/>
      <c r="AY72" s="145"/>
      <c r="AZ72" s="145"/>
      <c r="BA72" s="145"/>
      <c r="BB72" s="145"/>
      <c r="BC72" s="145"/>
      <c r="BD72" s="145"/>
      <c r="BE72" s="145"/>
      <c r="BF72" s="145"/>
    </row>
    <row r="73" spans="1:58" ht="30" customHeight="1" x14ac:dyDescent="0.2">
      <c r="A73" s="1302" t="s">
        <v>77</v>
      </c>
      <c r="B73" s="1303"/>
      <c r="C73" s="1276"/>
      <c r="D73" s="1251"/>
      <c r="E73" s="1251"/>
      <c r="F73" s="1086">
        <v>397.5</v>
      </c>
      <c r="G73" s="1090">
        <v>0.1</v>
      </c>
      <c r="H73" s="1096">
        <v>-1.67</v>
      </c>
      <c r="I73" s="1097">
        <v>0.12</v>
      </c>
      <c r="J73" s="1241">
        <v>2</v>
      </c>
      <c r="K73" s="1190">
        <v>43587</v>
      </c>
      <c r="L73" s="1321" t="s">
        <v>420</v>
      </c>
      <c r="M73" s="152"/>
      <c r="N73" s="152"/>
      <c r="O73" s="318"/>
      <c r="P73" s="145"/>
      <c r="Q73" s="451"/>
      <c r="R73" s="165"/>
      <c r="S73" s="165"/>
      <c r="T73" s="530"/>
      <c r="U73" s="165"/>
      <c r="V73" s="165"/>
      <c r="W73" s="165"/>
      <c r="X73" s="165"/>
      <c r="Y73" s="165"/>
      <c r="Z73" s="165"/>
      <c r="AA73" s="165"/>
      <c r="AB73" s="165"/>
      <c r="AC73" s="165"/>
      <c r="AD73" s="145"/>
      <c r="AV73" s="145"/>
      <c r="AW73" s="145"/>
      <c r="AX73" s="145"/>
      <c r="AY73" s="145"/>
      <c r="AZ73" s="145"/>
      <c r="BA73" s="145"/>
      <c r="BB73" s="145"/>
      <c r="BC73" s="145"/>
      <c r="BD73" s="145"/>
      <c r="BE73" s="145"/>
      <c r="BF73" s="145"/>
    </row>
    <row r="74" spans="1:58" ht="30" customHeight="1" x14ac:dyDescent="0.2">
      <c r="A74" s="1283"/>
      <c r="B74" s="1301"/>
      <c r="C74" s="1276"/>
      <c r="D74" s="1251"/>
      <c r="E74" s="1251"/>
      <c r="F74" s="1069">
        <v>798.5</v>
      </c>
      <c r="G74" s="1092">
        <v>0.1</v>
      </c>
      <c r="H74" s="1098">
        <v>-0.7</v>
      </c>
      <c r="I74" s="1099">
        <v>0.27</v>
      </c>
      <c r="J74" s="1202"/>
      <c r="K74" s="1203"/>
      <c r="L74" s="1205"/>
      <c r="M74" s="152"/>
      <c r="N74" s="152"/>
      <c r="O74" s="318"/>
      <c r="P74" s="145"/>
      <c r="Q74" s="451"/>
      <c r="R74" s="165"/>
      <c r="S74" s="165"/>
      <c r="T74" s="530"/>
      <c r="U74" s="165"/>
      <c r="V74" s="165"/>
      <c r="W74" s="165"/>
      <c r="X74" s="165"/>
      <c r="Y74" s="165"/>
      <c r="Z74" s="165"/>
      <c r="AA74" s="165"/>
      <c r="AB74" s="165"/>
      <c r="AC74" s="165"/>
      <c r="AD74" s="145"/>
      <c r="AV74" s="145"/>
      <c r="AW74" s="145"/>
      <c r="AX74" s="145"/>
      <c r="AY74" s="145"/>
      <c r="AZ74" s="145"/>
      <c r="BA74" s="145"/>
      <c r="BB74" s="145"/>
      <c r="BC74" s="145"/>
      <c r="BD74" s="145"/>
      <c r="BE74" s="145"/>
      <c r="BF74" s="145"/>
    </row>
    <row r="75" spans="1:58" ht="30" customHeight="1" thickBot="1" x14ac:dyDescent="0.25">
      <c r="A75" s="1304"/>
      <c r="B75" s="1305"/>
      <c r="C75" s="1277"/>
      <c r="D75" s="1252"/>
      <c r="E75" s="1252"/>
      <c r="F75" s="1080">
        <v>1099.5999999999999</v>
      </c>
      <c r="G75" s="1094">
        <v>0.1</v>
      </c>
      <c r="H75" s="1100">
        <v>-0.28999999999999998</v>
      </c>
      <c r="I75" s="1101">
        <v>0.56999999999999995</v>
      </c>
      <c r="J75" s="1253"/>
      <c r="K75" s="1221"/>
      <c r="L75" s="1223"/>
      <c r="M75" s="152"/>
      <c r="N75" s="152"/>
      <c r="O75" s="318"/>
      <c r="P75" s="145"/>
      <c r="Q75" s="451"/>
      <c r="R75" s="165"/>
      <c r="S75" s="165"/>
      <c r="T75" s="530"/>
      <c r="U75" s="165"/>
      <c r="V75" s="165"/>
      <c r="W75" s="165"/>
      <c r="X75" s="165"/>
      <c r="Y75" s="165"/>
      <c r="Z75" s="165"/>
      <c r="AA75" s="165"/>
      <c r="AB75" s="165"/>
      <c r="AC75" s="165"/>
      <c r="AD75" s="145"/>
      <c r="AV75" s="145"/>
      <c r="AW75" s="145"/>
      <c r="AX75" s="145"/>
      <c r="AY75" s="145"/>
      <c r="AZ75" s="145"/>
      <c r="BA75" s="145"/>
      <c r="BB75" s="145"/>
      <c r="BC75" s="145"/>
      <c r="BD75" s="145"/>
      <c r="BE75" s="145"/>
      <c r="BF75" s="145"/>
    </row>
    <row r="76" spans="1:58" ht="30" customHeight="1" x14ac:dyDescent="0.2">
      <c r="A76" s="145"/>
      <c r="B76" s="541"/>
      <c r="C76" s="145"/>
      <c r="D76" s="145"/>
      <c r="E76" s="152"/>
      <c r="F76" s="152"/>
      <c r="G76" s="152"/>
      <c r="H76" s="152"/>
      <c r="I76" s="152"/>
      <c r="J76" s="152"/>
      <c r="K76" s="152"/>
      <c r="L76" s="152"/>
      <c r="M76" s="152"/>
      <c r="N76" s="152"/>
      <c r="O76" s="318"/>
      <c r="P76" s="145"/>
      <c r="Q76" s="451"/>
      <c r="R76" s="165"/>
      <c r="S76" s="165"/>
      <c r="T76" s="530"/>
      <c r="U76" s="165"/>
      <c r="V76" s="165"/>
      <c r="W76" s="165"/>
      <c r="X76" s="165"/>
      <c r="Y76" s="165"/>
      <c r="Z76" s="165"/>
      <c r="AA76" s="165"/>
      <c r="AB76" s="165"/>
      <c r="AC76" s="165"/>
      <c r="AD76" s="145"/>
      <c r="AV76" s="145"/>
      <c r="AW76" s="145"/>
      <c r="AX76" s="145"/>
      <c r="AY76" s="145"/>
      <c r="AZ76" s="145"/>
      <c r="BA76" s="145"/>
      <c r="BB76" s="145"/>
      <c r="BC76" s="145"/>
      <c r="BD76" s="145"/>
      <c r="BE76" s="145"/>
      <c r="BF76" s="145"/>
    </row>
    <row r="77" spans="1:58" ht="30" customHeight="1" thickBot="1" x14ac:dyDescent="0.25">
      <c r="A77" s="145"/>
      <c r="B77" s="541"/>
      <c r="C77" s="166"/>
      <c r="D77" s="542"/>
      <c r="E77" s="543"/>
      <c r="F77" s="466"/>
      <c r="G77" s="466"/>
      <c r="H77" s="466"/>
      <c r="I77" s="466"/>
      <c r="J77" s="466"/>
      <c r="K77" s="540"/>
      <c r="L77" s="152"/>
      <c r="M77" s="152"/>
      <c r="N77" s="152"/>
      <c r="O77" s="318"/>
      <c r="P77" s="145"/>
      <c r="Q77" s="451"/>
      <c r="R77" s="165"/>
      <c r="S77" s="165"/>
      <c r="T77" s="530"/>
      <c r="U77" s="165"/>
      <c r="V77" s="165"/>
      <c r="W77" s="165"/>
      <c r="X77" s="165"/>
      <c r="Y77" s="165"/>
      <c r="Z77" s="165"/>
      <c r="AA77" s="165"/>
      <c r="AB77" s="165"/>
      <c r="AC77" s="165"/>
      <c r="AD77" s="145"/>
      <c r="AV77" s="145"/>
      <c r="AW77" s="145"/>
      <c r="AX77" s="145"/>
      <c r="AY77" s="145"/>
      <c r="AZ77" s="145"/>
      <c r="BA77" s="145"/>
      <c r="BB77" s="145"/>
      <c r="BC77" s="145"/>
      <c r="BD77" s="145"/>
      <c r="BE77" s="145"/>
      <c r="BF77" s="145"/>
    </row>
    <row r="78" spans="1:58" ht="30" customHeight="1" x14ac:dyDescent="0.2">
      <c r="A78" s="1302" t="s">
        <v>28</v>
      </c>
      <c r="B78" s="1322"/>
      <c r="C78" s="1275" t="s">
        <v>299</v>
      </c>
      <c r="D78" s="1213" t="s">
        <v>240</v>
      </c>
      <c r="E78" s="1249" t="s">
        <v>438</v>
      </c>
      <c r="F78" s="1086">
        <v>15.3</v>
      </c>
      <c r="G78" s="1066">
        <v>0.1</v>
      </c>
      <c r="H78" s="1067">
        <v>-0.1</v>
      </c>
      <c r="I78" s="1102">
        <v>0.3</v>
      </c>
      <c r="J78" s="1233">
        <v>2</v>
      </c>
      <c r="K78" s="1226">
        <v>43732</v>
      </c>
      <c r="L78" s="1234" t="s">
        <v>441</v>
      </c>
      <c r="M78" s="152"/>
      <c r="N78" s="152"/>
      <c r="O78" s="1122"/>
      <c r="P78" s="1123" t="s">
        <v>3</v>
      </c>
      <c r="Q78" s="1124" t="s">
        <v>486</v>
      </c>
      <c r="R78" s="1124" t="s">
        <v>16</v>
      </c>
      <c r="S78" s="1243" t="s">
        <v>447</v>
      </c>
      <c r="T78" s="1246" t="s">
        <v>448</v>
      </c>
      <c r="U78" s="165"/>
      <c r="V78" s="165"/>
      <c r="W78" s="165"/>
      <c r="X78" s="165"/>
      <c r="Y78" s="165"/>
      <c r="Z78" s="165"/>
      <c r="AA78" s="165"/>
      <c r="AB78" s="165"/>
      <c r="AC78" s="165"/>
      <c r="AD78" s="145"/>
      <c r="AV78" s="145"/>
      <c r="AW78" s="145"/>
      <c r="AX78" s="145"/>
      <c r="AY78" s="145"/>
      <c r="AZ78" s="145"/>
      <c r="BA78" s="145"/>
      <c r="BB78" s="145"/>
      <c r="BC78" s="145"/>
      <c r="BD78" s="145"/>
      <c r="BE78" s="145"/>
      <c r="BF78" s="145"/>
    </row>
    <row r="79" spans="1:58" ht="30" customHeight="1" x14ac:dyDescent="0.2">
      <c r="A79" s="1283"/>
      <c r="B79" s="1323"/>
      <c r="C79" s="1276"/>
      <c r="D79" s="1214"/>
      <c r="E79" s="1250"/>
      <c r="F79" s="1069">
        <v>24.8</v>
      </c>
      <c r="G79" s="1083">
        <v>0.1</v>
      </c>
      <c r="H79" s="1079">
        <v>0</v>
      </c>
      <c r="I79" s="1103">
        <v>0.3</v>
      </c>
      <c r="J79" s="1202"/>
      <c r="K79" s="1203"/>
      <c r="L79" s="1205"/>
      <c r="M79" s="152"/>
      <c r="N79" s="152"/>
      <c r="O79" s="1224" t="s">
        <v>301</v>
      </c>
      <c r="P79" s="1131">
        <f>MAX(I78:I80)</f>
        <v>0.3</v>
      </c>
      <c r="Q79" s="1132">
        <f>MAX(I81:I83)</f>
        <v>1.7</v>
      </c>
      <c r="R79" s="1132">
        <f>MAX(I84:I86)</f>
        <v>0.28999999999999998</v>
      </c>
      <c r="S79" s="1244"/>
      <c r="T79" s="1247"/>
      <c r="U79" s="165"/>
      <c r="V79" s="165"/>
      <c r="W79" s="165"/>
      <c r="X79" s="165"/>
      <c r="Y79" s="165"/>
      <c r="Z79" s="165"/>
      <c r="AA79" s="165"/>
      <c r="AB79" s="165"/>
      <c r="AC79" s="165"/>
      <c r="AD79" s="145"/>
      <c r="AV79" s="145"/>
      <c r="AW79" s="145"/>
      <c r="AX79" s="145"/>
      <c r="AY79" s="145"/>
      <c r="AZ79" s="145"/>
      <c r="BA79" s="145"/>
      <c r="BB79" s="145"/>
      <c r="BC79" s="145"/>
      <c r="BD79" s="145"/>
      <c r="BE79" s="145"/>
      <c r="BF79" s="145"/>
    </row>
    <row r="80" spans="1:58" ht="30" customHeight="1" thickBot="1" x14ac:dyDescent="0.25">
      <c r="A80" s="1304"/>
      <c r="B80" s="1324"/>
      <c r="C80" s="1276"/>
      <c r="D80" s="1214"/>
      <c r="E80" s="1250"/>
      <c r="F80" s="1080">
        <v>29.6</v>
      </c>
      <c r="G80" s="1074">
        <v>0.1</v>
      </c>
      <c r="H80" s="1074">
        <v>0.1</v>
      </c>
      <c r="I80" s="1076">
        <v>0.3</v>
      </c>
      <c r="J80" s="1202"/>
      <c r="K80" s="1203"/>
      <c r="L80" s="1205"/>
      <c r="M80" s="152"/>
      <c r="N80" s="152"/>
      <c r="O80" s="1225"/>
      <c r="P80" s="1120"/>
      <c r="Q80" s="1121"/>
      <c r="R80" s="1121"/>
      <c r="S80" s="1245"/>
      <c r="T80" s="1248"/>
      <c r="U80" s="165"/>
      <c r="V80" s="165"/>
      <c r="W80" s="165"/>
      <c r="X80" s="165"/>
      <c r="Y80" s="165"/>
      <c r="Z80" s="165"/>
      <c r="AA80" s="165"/>
      <c r="AB80" s="165"/>
      <c r="AC80" s="165"/>
      <c r="AD80" s="145"/>
      <c r="AV80" s="145"/>
      <c r="AW80" s="145"/>
      <c r="AX80" s="145"/>
      <c r="AY80" s="145"/>
      <c r="AZ80" s="145"/>
      <c r="BA80" s="145"/>
      <c r="BB80" s="145"/>
      <c r="BC80" s="145"/>
      <c r="BD80" s="145"/>
      <c r="BE80" s="145"/>
      <c r="BF80" s="145"/>
    </row>
    <row r="81" spans="1:58" ht="30" customHeight="1" x14ac:dyDescent="0.2">
      <c r="A81" s="1302" t="s">
        <v>294</v>
      </c>
      <c r="B81" s="1322"/>
      <c r="C81" s="1276"/>
      <c r="D81" s="1214"/>
      <c r="E81" s="1250"/>
      <c r="F81" s="1065">
        <v>32.299999999999997</v>
      </c>
      <c r="G81" s="1066">
        <v>0.1</v>
      </c>
      <c r="H81" s="1066">
        <v>-2.2999999999999998</v>
      </c>
      <c r="I81" s="1077">
        <v>1.7</v>
      </c>
      <c r="J81" s="1201">
        <v>2</v>
      </c>
      <c r="K81" s="1190">
        <v>43733</v>
      </c>
      <c r="L81" s="1204" t="s">
        <v>442</v>
      </c>
      <c r="M81" s="152"/>
      <c r="N81" s="152"/>
      <c r="O81" s="318"/>
      <c r="P81" s="145"/>
      <c r="Q81" s="451"/>
      <c r="R81" s="165"/>
      <c r="S81" s="165"/>
      <c r="T81" s="530"/>
      <c r="U81" s="165"/>
      <c r="V81" s="165"/>
      <c r="W81" s="165"/>
      <c r="X81" s="165"/>
      <c r="Y81" s="165"/>
      <c r="Z81" s="165"/>
      <c r="AA81" s="165"/>
      <c r="AB81" s="165"/>
      <c r="AC81" s="165"/>
      <c r="AD81" s="145"/>
      <c r="AV81" s="145"/>
      <c r="AW81" s="145"/>
      <c r="AX81" s="145"/>
      <c r="AY81" s="145"/>
      <c r="AZ81" s="145"/>
      <c r="BA81" s="145"/>
      <c r="BB81" s="145"/>
      <c r="BC81" s="145"/>
      <c r="BD81" s="145"/>
      <c r="BE81" s="145"/>
      <c r="BF81" s="145"/>
    </row>
    <row r="82" spans="1:58" ht="30" customHeight="1" x14ac:dyDescent="0.2">
      <c r="A82" s="1283"/>
      <c r="B82" s="1323"/>
      <c r="C82" s="1276"/>
      <c r="D82" s="1214"/>
      <c r="E82" s="1250"/>
      <c r="F82" s="1069">
        <v>50.6</v>
      </c>
      <c r="G82" s="1083">
        <v>0.1</v>
      </c>
      <c r="H82" s="1083">
        <v>-0.6</v>
      </c>
      <c r="I82" s="1072">
        <v>1.7</v>
      </c>
      <c r="J82" s="1202">
        <v>2</v>
      </c>
      <c r="K82" s="1203"/>
      <c r="L82" s="1205"/>
      <c r="M82" s="152"/>
      <c r="N82" s="152"/>
      <c r="O82" s="318"/>
      <c r="P82" s="145"/>
      <c r="Q82" s="451"/>
      <c r="R82" s="165"/>
      <c r="S82" s="165"/>
      <c r="T82" s="530"/>
      <c r="U82" s="165"/>
      <c r="V82" s="165"/>
      <c r="W82" s="165"/>
      <c r="X82" s="165"/>
      <c r="Y82" s="165"/>
      <c r="Z82" s="165"/>
      <c r="AA82" s="165"/>
      <c r="AB82" s="165"/>
      <c r="AC82" s="165"/>
      <c r="AD82" s="145"/>
      <c r="AV82" s="145"/>
      <c r="AW82" s="145"/>
      <c r="AX82" s="145"/>
      <c r="AY82" s="145"/>
      <c r="AZ82" s="145"/>
      <c r="BA82" s="145"/>
      <c r="BB82" s="145"/>
      <c r="BC82" s="145"/>
      <c r="BD82" s="145"/>
      <c r="BE82" s="145"/>
      <c r="BF82" s="145"/>
    </row>
    <row r="83" spans="1:58" ht="30" customHeight="1" thickBot="1" x14ac:dyDescent="0.25">
      <c r="A83" s="1304"/>
      <c r="B83" s="1324"/>
      <c r="C83" s="1276"/>
      <c r="D83" s="1214"/>
      <c r="E83" s="1250"/>
      <c r="F83" s="1080">
        <v>68.599999999999994</v>
      </c>
      <c r="G83" s="1081">
        <v>0.1</v>
      </c>
      <c r="H83" s="1081">
        <v>1.4</v>
      </c>
      <c r="I83" s="1076">
        <v>1.7</v>
      </c>
      <c r="J83" s="1202"/>
      <c r="K83" s="1203"/>
      <c r="L83" s="1205"/>
      <c r="M83" s="152"/>
      <c r="N83" s="152"/>
      <c r="O83" s="318"/>
      <c r="P83" s="145"/>
      <c r="Q83" s="451"/>
      <c r="R83" s="165"/>
      <c r="S83" s="165"/>
      <c r="T83" s="530"/>
      <c r="U83" s="165"/>
      <c r="V83" s="165"/>
      <c r="W83" s="165"/>
      <c r="X83" s="165"/>
      <c r="Y83" s="165"/>
      <c r="Z83" s="165"/>
      <c r="AA83" s="165"/>
      <c r="AB83" s="165"/>
      <c r="AC83" s="165"/>
      <c r="AD83" s="145"/>
      <c r="AV83" s="145"/>
      <c r="AW83" s="145"/>
      <c r="AX83" s="145"/>
      <c r="AY83" s="145"/>
      <c r="AZ83" s="145"/>
      <c r="BA83" s="145"/>
      <c r="BB83" s="145"/>
      <c r="BC83" s="145"/>
      <c r="BD83" s="145"/>
      <c r="BE83" s="145"/>
      <c r="BF83" s="145"/>
    </row>
    <row r="84" spans="1:58" ht="30" customHeight="1" x14ac:dyDescent="0.2">
      <c r="A84" s="1302" t="s">
        <v>77</v>
      </c>
      <c r="B84" s="1322"/>
      <c r="C84" s="1276"/>
      <c r="D84" s="1214"/>
      <c r="E84" s="1251"/>
      <c r="F84" s="1086">
        <v>497.8</v>
      </c>
      <c r="G84" s="1066">
        <v>0.1</v>
      </c>
      <c r="H84" s="1104">
        <v>-1.4</v>
      </c>
      <c r="I84" s="1105">
        <v>0.17</v>
      </c>
      <c r="J84" s="1201">
        <v>2</v>
      </c>
      <c r="K84" s="1190">
        <v>43733</v>
      </c>
      <c r="L84" s="1222" t="s">
        <v>446</v>
      </c>
      <c r="M84" s="152"/>
      <c r="N84" s="152"/>
      <c r="O84" s="318"/>
      <c r="P84" s="145"/>
      <c r="Q84" s="451"/>
      <c r="R84" s="165"/>
      <c r="S84" s="165"/>
      <c r="T84" s="530"/>
      <c r="U84" s="165"/>
      <c r="V84" s="165"/>
      <c r="W84" s="165"/>
      <c r="X84" s="165"/>
      <c r="Y84" s="165"/>
      <c r="Z84" s="165"/>
      <c r="AA84" s="165"/>
      <c r="AB84" s="165"/>
      <c r="AC84" s="165"/>
      <c r="AD84" s="145"/>
      <c r="AV84" s="145"/>
      <c r="AW84" s="145"/>
      <c r="AX84" s="145"/>
      <c r="AY84" s="145"/>
      <c r="AZ84" s="145"/>
      <c r="BA84" s="145"/>
      <c r="BB84" s="145"/>
      <c r="BC84" s="145"/>
      <c r="BD84" s="145"/>
      <c r="BE84" s="145"/>
      <c r="BF84" s="145"/>
    </row>
    <row r="85" spans="1:58" ht="30" customHeight="1" x14ac:dyDescent="0.2">
      <c r="A85" s="1283"/>
      <c r="B85" s="1323"/>
      <c r="C85" s="1276"/>
      <c r="D85" s="1214"/>
      <c r="E85" s="1251"/>
      <c r="F85" s="1069">
        <v>698.2</v>
      </c>
      <c r="G85" s="1083">
        <v>0.1</v>
      </c>
      <c r="H85" s="1106">
        <v>-0.92</v>
      </c>
      <c r="I85" s="1107">
        <v>0.11</v>
      </c>
      <c r="J85" s="1202">
        <v>2</v>
      </c>
      <c r="K85" s="1203">
        <v>42671</v>
      </c>
      <c r="L85" s="1205" t="s">
        <v>300</v>
      </c>
      <c r="M85" s="152"/>
      <c r="N85" s="152"/>
      <c r="O85" s="318"/>
      <c r="P85" s="145"/>
      <c r="Q85" s="451"/>
      <c r="R85" s="165"/>
      <c r="S85" s="165"/>
      <c r="T85" s="530"/>
      <c r="U85" s="165"/>
      <c r="V85" s="165"/>
      <c r="W85" s="165"/>
      <c r="X85" s="165"/>
      <c r="Y85" s="165"/>
      <c r="Z85" s="165"/>
      <c r="AA85" s="165"/>
      <c r="AB85" s="165"/>
      <c r="AC85" s="165"/>
      <c r="AD85" s="145"/>
      <c r="AV85" s="145"/>
      <c r="AW85" s="145"/>
      <c r="AX85" s="145"/>
      <c r="AY85" s="145"/>
      <c r="AZ85" s="145"/>
      <c r="BA85" s="145"/>
      <c r="BB85" s="145"/>
      <c r="BC85" s="145"/>
      <c r="BD85" s="145"/>
      <c r="BE85" s="145"/>
      <c r="BF85" s="145"/>
    </row>
    <row r="86" spans="1:58" ht="30" customHeight="1" thickBot="1" x14ac:dyDescent="0.25">
      <c r="A86" s="1304"/>
      <c r="B86" s="1324"/>
      <c r="C86" s="1277"/>
      <c r="D86" s="1215"/>
      <c r="E86" s="1252"/>
      <c r="F86" s="1080">
        <v>1098.8</v>
      </c>
      <c r="G86" s="1081">
        <v>0.1</v>
      </c>
      <c r="H86" s="1085">
        <v>-0.68</v>
      </c>
      <c r="I86" s="1108">
        <v>0.28999999999999998</v>
      </c>
      <c r="J86" s="1253"/>
      <c r="K86" s="1221"/>
      <c r="L86" s="1223"/>
      <c r="M86" s="152"/>
      <c r="N86" s="152"/>
      <c r="O86" s="318"/>
      <c r="P86" s="145"/>
      <c r="Q86" s="451"/>
      <c r="R86" s="165"/>
      <c r="S86" s="165"/>
      <c r="T86" s="530"/>
      <c r="U86" s="165"/>
      <c r="V86" s="165"/>
      <c r="W86" s="165"/>
      <c r="X86" s="165"/>
      <c r="Y86" s="165"/>
      <c r="Z86" s="165"/>
      <c r="AA86" s="165"/>
      <c r="AB86" s="165"/>
      <c r="AC86" s="165"/>
      <c r="AD86" s="145"/>
      <c r="AV86" s="145"/>
      <c r="AW86" s="145"/>
      <c r="AX86" s="145"/>
      <c r="AY86" s="145"/>
      <c r="AZ86" s="145"/>
      <c r="BA86" s="145"/>
      <c r="BB86" s="145"/>
      <c r="BC86" s="145"/>
      <c r="BD86" s="145"/>
      <c r="BE86" s="145"/>
      <c r="BF86" s="145"/>
    </row>
    <row r="87" spans="1:58" ht="30" customHeight="1" x14ac:dyDescent="0.2">
      <c r="A87" s="145"/>
      <c r="B87" s="541"/>
      <c r="C87" s="145"/>
      <c r="D87" s="145"/>
      <c r="E87" s="152"/>
      <c r="F87" s="152"/>
      <c r="G87" s="152"/>
      <c r="H87" s="152"/>
      <c r="I87" s="152"/>
      <c r="J87" s="152"/>
      <c r="K87" s="152"/>
      <c r="L87" s="152"/>
      <c r="M87" s="152"/>
      <c r="N87" s="152"/>
      <c r="O87" s="318"/>
      <c r="P87" s="145"/>
      <c r="Q87" s="451"/>
      <c r="R87" s="165"/>
      <c r="S87" s="165"/>
      <c r="T87" s="530"/>
      <c r="U87" s="165"/>
      <c r="V87" s="165"/>
      <c r="W87" s="165"/>
      <c r="X87" s="165"/>
      <c r="Y87" s="165"/>
      <c r="Z87" s="165"/>
      <c r="AA87" s="165"/>
      <c r="AB87" s="165"/>
      <c r="AC87" s="165"/>
      <c r="AD87" s="145"/>
      <c r="AV87" s="145"/>
      <c r="AW87" s="145"/>
      <c r="AX87" s="145"/>
      <c r="AY87" s="145"/>
      <c r="AZ87" s="145"/>
      <c r="BA87" s="145"/>
      <c r="BB87" s="145"/>
      <c r="BC87" s="145"/>
      <c r="BD87" s="145"/>
      <c r="BE87" s="145"/>
      <c r="BF87" s="145"/>
    </row>
    <row r="88" spans="1:58" ht="30" customHeight="1" thickBot="1" x14ac:dyDescent="0.25">
      <c r="A88" s="145"/>
      <c r="B88" s="541"/>
      <c r="C88" s="542"/>
      <c r="D88" s="166"/>
      <c r="E88" s="543"/>
      <c r="F88" s="466"/>
      <c r="G88" s="466"/>
      <c r="H88" s="466"/>
      <c r="I88" s="466"/>
      <c r="J88" s="466"/>
      <c r="K88" s="540"/>
      <c r="L88" s="152"/>
      <c r="M88" s="152"/>
      <c r="N88" s="152"/>
      <c r="O88" s="318"/>
      <c r="P88" s="145"/>
      <c r="Q88" s="451"/>
      <c r="R88" s="165"/>
      <c r="S88" s="165"/>
      <c r="T88" s="530"/>
      <c r="U88" s="165"/>
      <c r="V88" s="165"/>
      <c r="W88" s="165"/>
      <c r="X88" s="165"/>
      <c r="Y88" s="165"/>
      <c r="Z88" s="165"/>
      <c r="AA88" s="165"/>
      <c r="AB88" s="165"/>
      <c r="AC88" s="165"/>
      <c r="AD88" s="145"/>
      <c r="AV88" s="145"/>
      <c r="AW88" s="145"/>
      <c r="AX88" s="145"/>
      <c r="AY88" s="145"/>
      <c r="AZ88" s="145"/>
      <c r="BA88" s="145"/>
      <c r="BB88" s="145"/>
      <c r="BC88" s="145"/>
      <c r="BD88" s="145"/>
      <c r="BE88" s="145"/>
      <c r="BF88" s="145"/>
    </row>
    <row r="89" spans="1:58" ht="30" customHeight="1" x14ac:dyDescent="0.2">
      <c r="A89" s="1319" t="s">
        <v>28</v>
      </c>
      <c r="B89" s="1213"/>
      <c r="C89" s="1312" t="s">
        <v>302</v>
      </c>
      <c r="D89" s="1213" t="s">
        <v>240</v>
      </c>
      <c r="E89" s="1249" t="s">
        <v>435</v>
      </c>
      <c r="F89" s="1065">
        <v>15.5</v>
      </c>
      <c r="G89" s="1066">
        <v>0.1</v>
      </c>
      <c r="H89" s="1067">
        <v>-0.2</v>
      </c>
      <c r="I89" s="1133">
        <v>0.3</v>
      </c>
      <c r="J89" s="1242">
        <v>2</v>
      </c>
      <c r="K89" s="1226">
        <v>43599</v>
      </c>
      <c r="L89" s="1234" t="s">
        <v>421</v>
      </c>
      <c r="M89" s="152"/>
      <c r="N89" s="152"/>
      <c r="O89" s="1122"/>
      <c r="P89" s="1123" t="s">
        <v>3</v>
      </c>
      <c r="Q89" s="1124" t="s">
        <v>486</v>
      </c>
      <c r="R89" s="1124" t="s">
        <v>16</v>
      </c>
      <c r="S89" s="1226" t="s">
        <v>433</v>
      </c>
      <c r="T89" s="1234" t="s">
        <v>434</v>
      </c>
      <c r="U89" s="165"/>
      <c r="V89" s="165"/>
      <c r="W89" s="165"/>
      <c r="X89" s="165"/>
      <c r="Y89" s="165"/>
      <c r="Z89" s="165"/>
      <c r="AA89" s="165"/>
      <c r="AB89" s="165"/>
      <c r="AC89" s="165"/>
      <c r="AD89" s="145"/>
      <c r="AV89" s="145"/>
      <c r="AW89" s="145"/>
      <c r="AX89" s="145"/>
      <c r="AY89" s="145"/>
      <c r="AZ89" s="145"/>
      <c r="BA89" s="145"/>
      <c r="BB89" s="145"/>
      <c r="BC89" s="145"/>
      <c r="BD89" s="145"/>
      <c r="BE89" s="145"/>
      <c r="BF89" s="145"/>
    </row>
    <row r="90" spans="1:58" ht="30" customHeight="1" x14ac:dyDescent="0.2">
      <c r="A90" s="1320"/>
      <c r="B90" s="1214"/>
      <c r="C90" s="1251"/>
      <c r="D90" s="1214"/>
      <c r="E90" s="1250"/>
      <c r="F90" s="1069">
        <v>24.6</v>
      </c>
      <c r="G90" s="1083">
        <v>0.1</v>
      </c>
      <c r="H90" s="1079">
        <v>0.1</v>
      </c>
      <c r="I90" s="1134">
        <v>0.3</v>
      </c>
      <c r="J90" s="1240"/>
      <c r="K90" s="1203"/>
      <c r="L90" s="1205"/>
      <c r="M90" s="152"/>
      <c r="N90" s="152"/>
      <c r="O90" s="1224" t="s">
        <v>303</v>
      </c>
      <c r="P90" s="1131">
        <f>MAX(I89:I91)</f>
        <v>0.3</v>
      </c>
      <c r="Q90" s="1132">
        <f>MAX(I92:I94)</f>
        <v>1.7</v>
      </c>
      <c r="R90" s="1132">
        <f>MAX(I95:I97)</f>
        <v>0.34</v>
      </c>
      <c r="S90" s="1190"/>
      <c r="T90" s="1204"/>
      <c r="U90" s="165"/>
      <c r="V90" s="165"/>
      <c r="W90" s="165"/>
      <c r="X90" s="165"/>
      <c r="Y90" s="165"/>
      <c r="Z90" s="165"/>
      <c r="AA90" s="165"/>
      <c r="AB90" s="165"/>
      <c r="AC90" s="165"/>
      <c r="AD90" s="145"/>
      <c r="AV90" s="145"/>
      <c r="AW90" s="145"/>
      <c r="AX90" s="145"/>
      <c r="AY90" s="145"/>
      <c r="AZ90" s="145"/>
      <c r="BA90" s="145"/>
      <c r="BB90" s="145"/>
      <c r="BC90" s="145"/>
      <c r="BD90" s="145"/>
      <c r="BE90" s="145"/>
      <c r="BF90" s="145"/>
    </row>
    <row r="91" spans="1:58" ht="30" customHeight="1" thickBot="1" x14ac:dyDescent="0.25">
      <c r="A91" s="1320"/>
      <c r="B91" s="1214"/>
      <c r="C91" s="1251"/>
      <c r="D91" s="1214"/>
      <c r="E91" s="1250"/>
      <c r="F91" s="1073">
        <v>29.2</v>
      </c>
      <c r="G91" s="1081">
        <v>0.1</v>
      </c>
      <c r="H91" s="1135">
        <v>0.3</v>
      </c>
      <c r="I91" s="1136">
        <v>0.3</v>
      </c>
      <c r="J91" s="1240">
        <v>1.96</v>
      </c>
      <c r="K91" s="1203"/>
      <c r="L91" s="1205"/>
      <c r="M91" s="152"/>
      <c r="N91" s="152"/>
      <c r="O91" s="1225"/>
      <c r="P91" s="1120"/>
      <c r="Q91" s="1121"/>
      <c r="R91" s="1121"/>
      <c r="S91" s="1191"/>
      <c r="T91" s="1235"/>
      <c r="U91" s="165"/>
      <c r="V91" s="165"/>
      <c r="W91" s="165"/>
      <c r="X91" s="165"/>
      <c r="Y91" s="165"/>
      <c r="Z91" s="165"/>
      <c r="AA91" s="165"/>
      <c r="AB91" s="165"/>
      <c r="AC91" s="165"/>
      <c r="AD91" s="145"/>
      <c r="AV91" s="145"/>
      <c r="AW91" s="145"/>
      <c r="AX91" s="145"/>
      <c r="AY91" s="145"/>
      <c r="AZ91" s="145"/>
      <c r="BA91" s="145"/>
      <c r="BB91" s="145"/>
      <c r="BC91" s="145"/>
      <c r="BD91" s="145"/>
      <c r="BE91" s="145"/>
      <c r="BF91" s="145"/>
    </row>
    <row r="92" spans="1:58" ht="30" customHeight="1" x14ac:dyDescent="0.2">
      <c r="A92" s="1199" t="s">
        <v>294</v>
      </c>
      <c r="B92" s="1200"/>
      <c r="C92" s="1251"/>
      <c r="D92" s="1214"/>
      <c r="E92" s="1250"/>
      <c r="F92" s="1065">
        <v>33.6</v>
      </c>
      <c r="G92" s="1066">
        <v>0.1</v>
      </c>
      <c r="H92" s="1066">
        <v>-3.6</v>
      </c>
      <c r="I92" s="1105">
        <v>1.7</v>
      </c>
      <c r="J92" s="1239">
        <v>2</v>
      </c>
      <c r="K92" s="1190">
        <v>43600</v>
      </c>
      <c r="L92" s="1204" t="s">
        <v>422</v>
      </c>
      <c r="M92" s="152"/>
      <c r="N92" s="152"/>
      <c r="O92" s="318"/>
      <c r="P92" s="145"/>
      <c r="Q92" s="451"/>
      <c r="R92" s="165"/>
      <c r="S92" s="165"/>
      <c r="T92" s="530"/>
      <c r="U92" s="165"/>
      <c r="V92" s="165"/>
      <c r="W92" s="165"/>
      <c r="X92" s="165"/>
      <c r="Y92" s="165"/>
      <c r="Z92" s="165"/>
      <c r="AA92" s="165"/>
      <c r="AB92" s="165"/>
      <c r="AC92" s="165"/>
      <c r="AD92" s="145"/>
      <c r="AV92" s="145"/>
      <c r="AW92" s="145"/>
      <c r="AX92" s="145"/>
      <c r="AY92" s="145"/>
      <c r="AZ92" s="145"/>
      <c r="BA92" s="145"/>
      <c r="BB92" s="145"/>
      <c r="BC92" s="145"/>
      <c r="BD92" s="145"/>
      <c r="BE92" s="145"/>
      <c r="BF92" s="145"/>
    </row>
    <row r="93" spans="1:58" ht="30" customHeight="1" x14ac:dyDescent="0.2">
      <c r="A93" s="1199"/>
      <c r="B93" s="1200"/>
      <c r="C93" s="1251"/>
      <c r="D93" s="1214"/>
      <c r="E93" s="1250"/>
      <c r="F93" s="1069">
        <v>51.2</v>
      </c>
      <c r="G93" s="1083">
        <v>0.1</v>
      </c>
      <c r="H93" s="1083">
        <v>-1.2</v>
      </c>
      <c r="I93" s="1107">
        <v>1.7</v>
      </c>
      <c r="J93" s="1240">
        <v>1.96</v>
      </c>
      <c r="K93" s="1203"/>
      <c r="L93" s="1205"/>
      <c r="M93" s="152"/>
      <c r="N93" s="152"/>
      <c r="O93" s="318"/>
      <c r="P93" s="145"/>
      <c r="Q93" s="451"/>
      <c r="R93" s="165"/>
      <c r="S93" s="165"/>
      <c r="T93" s="530"/>
      <c r="U93" s="165"/>
      <c r="V93" s="165"/>
      <c r="W93" s="165"/>
      <c r="X93" s="165"/>
      <c r="Y93" s="165"/>
      <c r="Z93" s="165"/>
      <c r="AA93" s="165"/>
      <c r="AB93" s="165"/>
      <c r="AC93" s="165"/>
      <c r="AD93" s="145"/>
      <c r="AV93" s="145"/>
      <c r="AW93" s="145"/>
      <c r="AX93" s="145"/>
      <c r="AY93" s="145"/>
      <c r="AZ93" s="145"/>
      <c r="BA93" s="145"/>
      <c r="BB93" s="145"/>
      <c r="BC93" s="145"/>
      <c r="BD93" s="145"/>
      <c r="BE93" s="145"/>
      <c r="BF93" s="145"/>
    </row>
    <row r="94" spans="1:58" ht="30" customHeight="1" thickBot="1" x14ac:dyDescent="0.25">
      <c r="A94" s="1199"/>
      <c r="B94" s="1200"/>
      <c r="C94" s="1251"/>
      <c r="D94" s="1214"/>
      <c r="E94" s="1250"/>
      <c r="F94" s="1080">
        <v>68.5</v>
      </c>
      <c r="G94" s="1081">
        <v>0.1</v>
      </c>
      <c r="H94" s="1081">
        <v>1.5</v>
      </c>
      <c r="I94" s="1108">
        <v>1.7</v>
      </c>
      <c r="J94" s="1240"/>
      <c r="K94" s="1203"/>
      <c r="L94" s="1205"/>
      <c r="M94" s="152"/>
      <c r="N94" s="152"/>
      <c r="O94" s="318"/>
      <c r="P94" s="145"/>
      <c r="Q94" s="451"/>
      <c r="R94" s="165"/>
      <c r="S94" s="165"/>
      <c r="T94" s="530"/>
      <c r="U94" s="165"/>
      <c r="V94" s="165"/>
      <c r="W94" s="165"/>
      <c r="X94" s="165"/>
      <c r="Y94" s="165"/>
      <c r="Z94" s="165"/>
      <c r="AA94" s="165"/>
      <c r="AB94" s="165"/>
      <c r="AC94" s="165"/>
      <c r="AD94" s="145"/>
      <c r="AV94" s="145"/>
      <c r="AW94" s="145"/>
      <c r="AX94" s="145"/>
      <c r="AY94" s="145"/>
      <c r="AZ94" s="145"/>
      <c r="BA94" s="145"/>
      <c r="BB94" s="145"/>
      <c r="BC94" s="145"/>
      <c r="BD94" s="145"/>
      <c r="BE94" s="145"/>
      <c r="BF94" s="145"/>
    </row>
    <row r="95" spans="1:58" ht="30" customHeight="1" x14ac:dyDescent="0.2">
      <c r="A95" s="1199" t="s">
        <v>77</v>
      </c>
      <c r="B95" s="1200"/>
      <c r="C95" s="1251"/>
      <c r="D95" s="1214"/>
      <c r="E95" s="1251"/>
      <c r="F95" s="1065">
        <v>698.3</v>
      </c>
      <c r="G95" s="1066">
        <v>0.1</v>
      </c>
      <c r="H95" s="1066">
        <v>-0.92</v>
      </c>
      <c r="I95" s="1137">
        <v>0.11</v>
      </c>
      <c r="J95" s="1218">
        <v>2</v>
      </c>
      <c r="K95" s="1190">
        <v>43600</v>
      </c>
      <c r="L95" s="1222" t="s">
        <v>423</v>
      </c>
      <c r="M95" s="152"/>
      <c r="N95" s="152"/>
      <c r="O95" s="318"/>
      <c r="P95" s="145"/>
      <c r="Q95" s="451"/>
      <c r="R95" s="165"/>
      <c r="S95" s="165"/>
      <c r="T95" s="530"/>
      <c r="U95" s="165"/>
      <c r="V95" s="165"/>
      <c r="W95" s="165"/>
      <c r="X95" s="165"/>
      <c r="Y95" s="165"/>
      <c r="Z95" s="165"/>
      <c r="AA95" s="165"/>
      <c r="AB95" s="165"/>
      <c r="AC95" s="165"/>
      <c r="AD95" s="145"/>
      <c r="AV95" s="145"/>
      <c r="AW95" s="145"/>
      <c r="AX95" s="145"/>
      <c r="AY95" s="145"/>
      <c r="AZ95" s="145"/>
      <c r="BA95" s="145"/>
      <c r="BB95" s="145"/>
      <c r="BC95" s="145"/>
      <c r="BD95" s="145"/>
      <c r="BE95" s="145"/>
      <c r="BF95" s="145"/>
    </row>
    <row r="96" spans="1:58" ht="30" customHeight="1" x14ac:dyDescent="0.2">
      <c r="A96" s="1199"/>
      <c r="B96" s="1200"/>
      <c r="C96" s="1251"/>
      <c r="D96" s="1214"/>
      <c r="E96" s="1251"/>
      <c r="F96" s="1069">
        <v>798.4</v>
      </c>
      <c r="G96" s="1083">
        <v>0.1</v>
      </c>
      <c r="H96" s="1106">
        <v>-0.82099999999999995</v>
      </c>
      <c r="I96" s="1099">
        <v>8.7999999999999995E-2</v>
      </c>
      <c r="J96" s="1219">
        <v>2</v>
      </c>
      <c r="K96" s="1203">
        <v>42625</v>
      </c>
      <c r="L96" s="1205" t="s">
        <v>273</v>
      </c>
      <c r="M96" s="152"/>
      <c r="N96" s="152"/>
      <c r="O96" s="318"/>
      <c r="P96" s="145"/>
      <c r="Q96" s="451"/>
      <c r="R96" s="165"/>
      <c r="S96" s="165"/>
      <c r="T96" s="530"/>
      <c r="U96" s="165"/>
      <c r="V96" s="165"/>
      <c r="W96" s="165"/>
      <c r="X96" s="165"/>
      <c r="Y96" s="165"/>
      <c r="Z96" s="165"/>
      <c r="AA96" s="165"/>
      <c r="AB96" s="165"/>
      <c r="AC96" s="165"/>
      <c r="AD96" s="145"/>
      <c r="AV96" s="145"/>
      <c r="AW96" s="145"/>
      <c r="AX96" s="145"/>
      <c r="AY96" s="145"/>
      <c r="AZ96" s="145"/>
      <c r="BA96" s="145"/>
      <c r="BB96" s="145"/>
      <c r="BC96" s="145"/>
      <c r="BD96" s="145"/>
      <c r="BE96" s="145"/>
      <c r="BF96" s="145"/>
    </row>
    <row r="97" spans="1:58" ht="30" customHeight="1" thickBot="1" x14ac:dyDescent="0.25">
      <c r="A97" s="1216"/>
      <c r="B97" s="1217"/>
      <c r="C97" s="1252"/>
      <c r="D97" s="1215"/>
      <c r="E97" s="1252"/>
      <c r="F97" s="1080">
        <v>848.7</v>
      </c>
      <c r="G97" s="1081">
        <v>0.1</v>
      </c>
      <c r="H97" s="1081">
        <v>-0.75</v>
      </c>
      <c r="I97" s="1101">
        <v>0.34</v>
      </c>
      <c r="J97" s="1220"/>
      <c r="K97" s="1221"/>
      <c r="L97" s="1223"/>
      <c r="M97" s="152"/>
      <c r="N97" s="152"/>
      <c r="O97" s="318"/>
      <c r="P97" s="145"/>
      <c r="Q97" s="451"/>
      <c r="R97" s="165"/>
      <c r="S97" s="165"/>
      <c r="T97" s="530"/>
      <c r="U97" s="165"/>
      <c r="V97" s="165"/>
      <c r="W97" s="165"/>
      <c r="X97" s="165"/>
      <c r="Y97" s="165"/>
      <c r="Z97" s="165"/>
      <c r="AA97" s="165"/>
      <c r="AB97" s="165"/>
      <c r="AC97" s="165"/>
      <c r="AD97" s="145"/>
      <c r="AV97" s="145"/>
      <c r="AW97" s="145"/>
      <c r="AX97" s="145"/>
      <c r="AY97" s="145"/>
      <c r="AZ97" s="145"/>
      <c r="BA97" s="145"/>
      <c r="BB97" s="145"/>
      <c r="BC97" s="145"/>
      <c r="BD97" s="145"/>
      <c r="BE97" s="145"/>
      <c r="BF97" s="145"/>
    </row>
    <row r="98" spans="1:58" ht="30" customHeight="1" x14ac:dyDescent="0.2">
      <c r="A98" s="145"/>
      <c r="B98" s="541"/>
      <c r="C98" s="145"/>
      <c r="D98" s="145"/>
      <c r="E98" s="152"/>
      <c r="F98" s="152"/>
      <c r="G98" s="152"/>
      <c r="H98" s="152"/>
      <c r="I98" s="152"/>
      <c r="J98" s="152"/>
      <c r="K98" s="152"/>
      <c r="L98" s="152"/>
      <c r="M98" s="152"/>
      <c r="N98" s="152"/>
      <c r="O98" s="318"/>
      <c r="P98" s="145"/>
      <c r="Q98" s="451"/>
      <c r="R98" s="165"/>
      <c r="S98" s="165"/>
      <c r="T98" s="530"/>
      <c r="U98" s="165"/>
      <c r="V98" s="165"/>
      <c r="W98" s="165"/>
      <c r="X98" s="165"/>
      <c r="Y98" s="165"/>
      <c r="Z98" s="165"/>
      <c r="AA98" s="165"/>
      <c r="AB98" s="165"/>
      <c r="AC98" s="165"/>
      <c r="AD98" s="145"/>
      <c r="AV98" s="145"/>
      <c r="AW98" s="145"/>
      <c r="AX98" s="145"/>
      <c r="AY98" s="145"/>
      <c r="AZ98" s="145"/>
      <c r="BA98" s="145"/>
      <c r="BB98" s="145"/>
      <c r="BC98" s="145"/>
      <c r="BD98" s="145"/>
      <c r="BE98" s="145"/>
      <c r="BF98" s="145"/>
    </row>
    <row r="99" spans="1:58" ht="30" customHeight="1" thickBot="1" x14ac:dyDescent="0.25">
      <c r="A99" s="145"/>
      <c r="B99" s="541"/>
      <c r="C99" s="542"/>
      <c r="D99" s="166"/>
      <c r="E99" s="543"/>
      <c r="F99" s="466"/>
      <c r="G99" s="466"/>
      <c r="H99" s="466"/>
      <c r="I99" s="466"/>
      <c r="J99" s="466"/>
      <c r="K99" s="540"/>
      <c r="L99" s="152"/>
      <c r="M99" s="152"/>
      <c r="N99" s="152"/>
      <c r="O99" s="318"/>
      <c r="P99" s="145"/>
      <c r="Q99" s="451"/>
      <c r="R99" s="165"/>
      <c r="S99" s="165"/>
      <c r="T99" s="530"/>
      <c r="U99" s="165"/>
      <c r="V99" s="165"/>
      <c r="W99" s="165"/>
      <c r="X99" s="165"/>
      <c r="Y99" s="165"/>
      <c r="Z99" s="165"/>
      <c r="AA99" s="165"/>
      <c r="AB99" s="165"/>
      <c r="AC99" s="165"/>
      <c r="AD99" s="145"/>
      <c r="AV99" s="145"/>
      <c r="AW99" s="145"/>
      <c r="AX99" s="145"/>
      <c r="AY99" s="145"/>
      <c r="AZ99" s="145"/>
      <c r="BA99" s="145"/>
      <c r="BB99" s="145"/>
      <c r="BC99" s="145"/>
      <c r="BD99" s="145"/>
      <c r="BE99" s="145"/>
      <c r="BF99" s="145"/>
    </row>
    <row r="100" spans="1:58" ht="30" customHeight="1" x14ac:dyDescent="0.2">
      <c r="A100" s="1319" t="s">
        <v>28</v>
      </c>
      <c r="B100" s="1213"/>
      <c r="C100" s="1184" t="s">
        <v>304</v>
      </c>
      <c r="D100" s="1213" t="s">
        <v>240</v>
      </c>
      <c r="E100" s="1282" t="s">
        <v>305</v>
      </c>
      <c r="F100" s="1065">
        <v>15.4</v>
      </c>
      <c r="G100" s="1066">
        <v>0.1</v>
      </c>
      <c r="H100" s="1067">
        <v>-0.1</v>
      </c>
      <c r="I100" s="1138">
        <v>0.3</v>
      </c>
      <c r="J100" s="1233">
        <v>2</v>
      </c>
      <c r="K100" s="1226">
        <v>43599</v>
      </c>
      <c r="L100" s="1234" t="s">
        <v>424</v>
      </c>
      <c r="M100" s="152"/>
      <c r="N100" s="152"/>
      <c r="O100" s="1122"/>
      <c r="P100" s="1123" t="s">
        <v>3</v>
      </c>
      <c r="Q100" s="1124" t="s">
        <v>486</v>
      </c>
      <c r="R100" s="1124" t="s">
        <v>16</v>
      </c>
      <c r="S100" s="1226" t="s">
        <v>436</v>
      </c>
      <c r="T100" s="1234" t="s">
        <v>437</v>
      </c>
      <c r="U100" s="165"/>
      <c r="V100" s="165"/>
      <c r="W100" s="165"/>
      <c r="X100" s="165"/>
      <c r="Y100" s="165"/>
      <c r="Z100" s="165"/>
      <c r="AA100" s="165"/>
      <c r="AB100" s="165"/>
      <c r="AC100" s="165"/>
      <c r="AD100" s="145"/>
      <c r="AV100" s="145"/>
      <c r="AW100" s="145"/>
      <c r="AX100" s="145"/>
      <c r="AY100" s="145"/>
      <c r="AZ100" s="145"/>
      <c r="BA100" s="145"/>
      <c r="BB100" s="145"/>
      <c r="BC100" s="145"/>
      <c r="BD100" s="145"/>
      <c r="BE100" s="145"/>
      <c r="BF100" s="145"/>
    </row>
    <row r="101" spans="1:58" ht="30" customHeight="1" x14ac:dyDescent="0.2">
      <c r="A101" s="1320"/>
      <c r="B101" s="1214"/>
      <c r="C101" s="1185"/>
      <c r="D101" s="1214"/>
      <c r="E101" s="1250"/>
      <c r="F101" s="1078">
        <v>24.7</v>
      </c>
      <c r="G101" s="1083">
        <v>0.1</v>
      </c>
      <c r="H101" s="1079">
        <v>0</v>
      </c>
      <c r="I101" s="1139">
        <v>0.3</v>
      </c>
      <c r="J101" s="1202"/>
      <c r="K101" s="1203"/>
      <c r="L101" s="1205"/>
      <c r="M101" s="152"/>
      <c r="N101" s="152"/>
      <c r="O101" s="1224" t="s">
        <v>308</v>
      </c>
      <c r="P101" s="1131">
        <f>MAX(I100:I102)</f>
        <v>0.3</v>
      </c>
      <c r="Q101" s="1132">
        <f>MAX(I103:I105)</f>
        <v>1.7</v>
      </c>
      <c r="R101" s="1132">
        <f>MAX(I106:I108)</f>
        <v>0.11</v>
      </c>
      <c r="S101" s="1190"/>
      <c r="T101" s="1204"/>
      <c r="U101" s="165"/>
      <c r="V101" s="165"/>
      <c r="W101" s="165"/>
      <c r="X101" s="165"/>
      <c r="Y101" s="165"/>
      <c r="Z101" s="165"/>
      <c r="AA101" s="165"/>
      <c r="AB101" s="165"/>
      <c r="AC101" s="165"/>
      <c r="AD101" s="145"/>
      <c r="AV101" s="145"/>
      <c r="AW101" s="145"/>
      <c r="AX101" s="145"/>
      <c r="AY101" s="145"/>
      <c r="AZ101" s="145"/>
      <c r="BA101" s="145"/>
      <c r="BB101" s="145"/>
      <c r="BC101" s="145"/>
      <c r="BD101" s="145"/>
      <c r="BE101" s="145"/>
      <c r="BF101" s="145"/>
    </row>
    <row r="102" spans="1:58" ht="30" customHeight="1" thickBot="1" x14ac:dyDescent="0.25">
      <c r="A102" s="1320"/>
      <c r="B102" s="1214"/>
      <c r="C102" s="1185"/>
      <c r="D102" s="1214"/>
      <c r="E102" s="1250"/>
      <c r="F102" s="1073">
        <v>29.4</v>
      </c>
      <c r="G102" s="1081">
        <v>0.1</v>
      </c>
      <c r="H102" s="1135">
        <v>0.1</v>
      </c>
      <c r="I102" s="1140">
        <v>0.3</v>
      </c>
      <c r="J102" s="1202"/>
      <c r="K102" s="1203"/>
      <c r="L102" s="1205"/>
      <c r="M102" s="152"/>
      <c r="N102" s="152"/>
      <c r="O102" s="1225"/>
      <c r="P102" s="1120"/>
      <c r="Q102" s="1121"/>
      <c r="R102" s="1121"/>
      <c r="S102" s="1191"/>
      <c r="T102" s="1235"/>
      <c r="U102" s="165"/>
      <c r="V102" s="165"/>
      <c r="W102" s="165"/>
      <c r="X102" s="165"/>
      <c r="Y102" s="165"/>
      <c r="Z102" s="165"/>
      <c r="AA102" s="165"/>
      <c r="AB102" s="165"/>
      <c r="AC102" s="165"/>
      <c r="AD102" s="145"/>
      <c r="AV102" s="145"/>
      <c r="AW102" s="145"/>
      <c r="AX102" s="145"/>
      <c r="AY102" s="145"/>
      <c r="AZ102" s="145"/>
      <c r="BA102" s="145"/>
      <c r="BB102" s="145"/>
      <c r="BC102" s="145"/>
      <c r="BD102" s="145"/>
      <c r="BE102" s="145"/>
      <c r="BF102" s="145"/>
    </row>
    <row r="103" spans="1:58" ht="30" customHeight="1" x14ac:dyDescent="0.2">
      <c r="A103" s="1199" t="s">
        <v>294</v>
      </c>
      <c r="B103" s="1200"/>
      <c r="C103" s="1185"/>
      <c r="D103" s="1214"/>
      <c r="E103" s="1250"/>
      <c r="F103" s="1065">
        <v>33.6</v>
      </c>
      <c r="G103" s="1066">
        <v>0.1</v>
      </c>
      <c r="H103" s="1066">
        <v>-3.6</v>
      </c>
      <c r="I103" s="1105">
        <v>1.7</v>
      </c>
      <c r="J103" s="1201">
        <v>2</v>
      </c>
      <c r="K103" s="1190">
        <v>43600</v>
      </c>
      <c r="L103" s="1204" t="s">
        <v>425</v>
      </c>
      <c r="M103" s="152"/>
      <c r="N103" s="152"/>
      <c r="O103" s="318"/>
      <c r="P103" s="145"/>
      <c r="Q103" s="451"/>
      <c r="R103" s="165"/>
      <c r="S103" s="165"/>
      <c r="T103" s="530"/>
      <c r="U103" s="165"/>
      <c r="V103" s="165"/>
      <c r="W103" s="165"/>
      <c r="X103" s="165"/>
      <c r="Y103" s="165"/>
      <c r="Z103" s="165"/>
      <c r="AA103" s="165"/>
      <c r="AB103" s="165"/>
      <c r="AC103" s="165"/>
      <c r="AD103" s="145"/>
      <c r="AV103" s="145"/>
      <c r="AW103" s="145"/>
      <c r="AX103" s="145"/>
      <c r="AY103" s="145"/>
      <c r="AZ103" s="145"/>
      <c r="BA103" s="145"/>
      <c r="BB103" s="145"/>
      <c r="BC103" s="145"/>
      <c r="BD103" s="145"/>
      <c r="BE103" s="145"/>
      <c r="BF103" s="145"/>
    </row>
    <row r="104" spans="1:58" ht="30" customHeight="1" x14ac:dyDescent="0.2">
      <c r="A104" s="1199"/>
      <c r="B104" s="1200"/>
      <c r="C104" s="1185"/>
      <c r="D104" s="1214"/>
      <c r="E104" s="1250"/>
      <c r="F104" s="1069">
        <v>51.2</v>
      </c>
      <c r="G104" s="1083">
        <v>0.1</v>
      </c>
      <c r="H104" s="1083">
        <v>-1.2</v>
      </c>
      <c r="I104" s="1141">
        <v>1.7</v>
      </c>
      <c r="J104" s="1202"/>
      <c r="K104" s="1203"/>
      <c r="L104" s="1205"/>
      <c r="M104" s="152"/>
      <c r="N104" s="152"/>
      <c r="O104" s="318"/>
      <c r="P104" s="145"/>
      <c r="Q104" s="451"/>
      <c r="R104" s="165"/>
      <c r="S104" s="165"/>
      <c r="T104" s="530"/>
      <c r="U104" s="165"/>
      <c r="V104" s="165"/>
      <c r="W104" s="165"/>
      <c r="X104" s="165"/>
      <c r="Y104" s="165"/>
      <c r="Z104" s="165"/>
      <c r="AA104" s="165"/>
      <c r="AB104" s="165"/>
      <c r="AC104" s="165"/>
      <c r="AD104" s="145"/>
      <c r="AV104" s="145"/>
      <c r="AW104" s="145"/>
      <c r="AX104" s="145"/>
      <c r="AY104" s="145"/>
      <c r="AZ104" s="145"/>
      <c r="BA104" s="145"/>
      <c r="BB104" s="145"/>
      <c r="BC104" s="145"/>
      <c r="BD104" s="145"/>
      <c r="BE104" s="145"/>
      <c r="BF104" s="145"/>
    </row>
    <row r="105" spans="1:58" ht="30" customHeight="1" thickBot="1" x14ac:dyDescent="0.25">
      <c r="A105" s="1199"/>
      <c r="B105" s="1200"/>
      <c r="C105" s="1185"/>
      <c r="D105" s="1214"/>
      <c r="E105" s="1250"/>
      <c r="F105" s="1080">
        <v>68.3</v>
      </c>
      <c r="G105" s="1081">
        <v>0.1</v>
      </c>
      <c r="H105" s="1081">
        <v>1.7</v>
      </c>
      <c r="I105" s="1142">
        <v>1.7</v>
      </c>
      <c r="J105" s="1202"/>
      <c r="K105" s="1203"/>
      <c r="L105" s="1205"/>
      <c r="M105" s="152"/>
      <c r="N105" s="152"/>
      <c r="O105" s="318"/>
      <c r="P105" s="145"/>
      <c r="Q105" s="451"/>
      <c r="R105" s="165"/>
      <c r="S105" s="165"/>
      <c r="T105" s="530"/>
      <c r="U105" s="165"/>
      <c r="V105" s="165"/>
      <c r="W105" s="165"/>
      <c r="X105" s="165"/>
      <c r="Y105" s="165"/>
      <c r="Z105" s="165"/>
      <c r="AA105" s="165"/>
      <c r="AB105" s="165"/>
      <c r="AC105" s="165"/>
      <c r="AD105" s="145"/>
      <c r="AV105" s="145"/>
      <c r="AW105" s="145"/>
      <c r="AX105" s="145"/>
      <c r="AY105" s="145"/>
      <c r="AZ105" s="145"/>
      <c r="BA105" s="145"/>
      <c r="BB105" s="145"/>
      <c r="BC105" s="145"/>
      <c r="BD105" s="145"/>
      <c r="BE105" s="145"/>
      <c r="BF105" s="145"/>
    </row>
    <row r="106" spans="1:58" ht="30" customHeight="1" x14ac:dyDescent="0.2">
      <c r="A106" s="1199" t="s">
        <v>77</v>
      </c>
      <c r="B106" s="1200"/>
      <c r="C106" s="1185"/>
      <c r="D106" s="1214"/>
      <c r="E106" s="1251"/>
      <c r="F106" s="1143">
        <v>698.2</v>
      </c>
      <c r="G106" s="1070">
        <v>0.1</v>
      </c>
      <c r="H106" s="1070">
        <v>-0.99</v>
      </c>
      <c r="I106" s="1144">
        <v>6.8000000000000005E-2</v>
      </c>
      <c r="J106" s="1218">
        <v>1.96</v>
      </c>
      <c r="K106" s="1190">
        <v>43600</v>
      </c>
      <c r="L106" s="1222" t="s">
        <v>426</v>
      </c>
      <c r="M106" s="152"/>
      <c r="N106" s="152"/>
      <c r="O106" s="318"/>
      <c r="P106" s="145"/>
      <c r="Q106" s="451"/>
      <c r="R106" s="165"/>
      <c r="S106" s="165"/>
      <c r="T106" s="530"/>
      <c r="U106" s="165"/>
      <c r="V106" s="165"/>
      <c r="W106" s="165"/>
      <c r="X106" s="165"/>
      <c r="Y106" s="165"/>
      <c r="Z106" s="165"/>
      <c r="AA106" s="165"/>
      <c r="AB106" s="165"/>
      <c r="AC106" s="165"/>
      <c r="AD106" s="145"/>
      <c r="AV106" s="145"/>
      <c r="AW106" s="145"/>
      <c r="AX106" s="145"/>
      <c r="AY106" s="145"/>
      <c r="AZ106" s="145"/>
      <c r="BA106" s="145"/>
      <c r="BB106" s="145"/>
      <c r="BC106" s="145"/>
      <c r="BD106" s="145"/>
      <c r="BE106" s="145"/>
      <c r="BF106" s="145"/>
    </row>
    <row r="107" spans="1:58" ht="30" customHeight="1" x14ac:dyDescent="0.2">
      <c r="A107" s="1199"/>
      <c r="B107" s="1200"/>
      <c r="C107" s="1185"/>
      <c r="D107" s="1214"/>
      <c r="E107" s="1251"/>
      <c r="F107" s="1069">
        <v>751.8</v>
      </c>
      <c r="G107" s="1083">
        <v>0.1</v>
      </c>
      <c r="H107" s="1106">
        <v>-0.88</v>
      </c>
      <c r="I107" s="1099">
        <v>8.6999999999999994E-2</v>
      </c>
      <c r="J107" s="1219">
        <v>1.96</v>
      </c>
      <c r="K107" s="1203">
        <v>42586</v>
      </c>
      <c r="L107" s="1205" t="s">
        <v>306</v>
      </c>
      <c r="M107" s="152"/>
      <c r="N107" s="152"/>
      <c r="O107" s="318"/>
      <c r="P107" s="145"/>
      <c r="Q107" s="451"/>
      <c r="R107" s="165"/>
      <c r="S107" s="165"/>
      <c r="T107" s="530"/>
      <c r="U107" s="165"/>
      <c r="V107" s="165"/>
      <c r="W107" s="165"/>
      <c r="X107" s="165"/>
      <c r="Y107" s="165"/>
      <c r="Z107" s="165"/>
      <c r="AA107" s="165"/>
      <c r="AB107" s="165"/>
      <c r="AC107" s="165"/>
      <c r="AD107" s="145"/>
      <c r="AV107" s="145"/>
      <c r="AW107" s="145"/>
      <c r="AX107" s="145"/>
      <c r="AY107" s="145"/>
      <c r="AZ107" s="145"/>
      <c r="BA107" s="145"/>
      <c r="BB107" s="145"/>
      <c r="BC107" s="145"/>
      <c r="BD107" s="145"/>
      <c r="BE107" s="145"/>
      <c r="BF107" s="145"/>
    </row>
    <row r="108" spans="1:58" ht="30" customHeight="1" thickBot="1" x14ac:dyDescent="0.25">
      <c r="A108" s="1216"/>
      <c r="B108" s="1217"/>
      <c r="C108" s="1186"/>
      <c r="D108" s="1215"/>
      <c r="E108" s="1252"/>
      <c r="F108" s="1080">
        <v>798.4</v>
      </c>
      <c r="G108" s="1081">
        <v>0.1</v>
      </c>
      <c r="H108" s="1081">
        <v>-0.73</v>
      </c>
      <c r="I108" s="1101">
        <v>0.11</v>
      </c>
      <c r="J108" s="1220">
        <v>2</v>
      </c>
      <c r="K108" s="1221">
        <v>42625</v>
      </c>
      <c r="L108" s="1223" t="s">
        <v>307</v>
      </c>
      <c r="M108" s="152"/>
      <c r="N108" s="152"/>
      <c r="O108" s="319"/>
      <c r="P108" s="197"/>
      <c r="Q108" s="544"/>
      <c r="R108" s="545"/>
      <c r="S108" s="545"/>
      <c r="T108" s="546"/>
      <c r="U108" s="165"/>
      <c r="V108" s="165"/>
      <c r="W108" s="165"/>
      <c r="X108" s="165"/>
      <c r="Y108" s="165"/>
      <c r="Z108" s="165"/>
      <c r="AA108" s="165"/>
      <c r="AB108" s="165"/>
      <c r="AC108" s="165"/>
      <c r="AD108" s="145"/>
      <c r="AV108" s="145"/>
      <c r="AW108" s="145"/>
      <c r="AX108" s="145"/>
      <c r="AY108" s="145"/>
      <c r="AZ108" s="145"/>
      <c r="BA108" s="145"/>
      <c r="BB108" s="145"/>
      <c r="BC108" s="145"/>
      <c r="BD108" s="145"/>
      <c r="BE108" s="145"/>
      <c r="BF108" s="145"/>
    </row>
    <row r="109" spans="1:58" ht="30" customHeight="1" thickBot="1" x14ac:dyDescent="0.25">
      <c r="A109" s="159"/>
      <c r="B109" s="145"/>
      <c r="C109" s="145"/>
      <c r="D109" s="145"/>
      <c r="E109" s="145"/>
      <c r="F109" s="145"/>
      <c r="G109" s="145"/>
      <c r="H109" s="145"/>
      <c r="I109" s="145"/>
      <c r="J109" s="145"/>
      <c r="K109" s="160"/>
      <c r="L109" s="145"/>
      <c r="M109" s="152"/>
      <c r="N109" s="152"/>
      <c r="O109" s="165"/>
      <c r="W109" s="165"/>
      <c r="X109" s="165"/>
      <c r="Y109" s="165"/>
      <c r="Z109" s="165"/>
      <c r="AA109" s="165"/>
      <c r="AB109" s="165"/>
      <c r="AC109" s="165"/>
      <c r="AD109" s="145"/>
      <c r="AV109" s="145"/>
      <c r="AW109" s="145"/>
      <c r="AX109" s="145"/>
      <c r="AY109" s="145"/>
      <c r="AZ109" s="145"/>
      <c r="BA109" s="145"/>
      <c r="BB109" s="145"/>
      <c r="BC109" s="145"/>
      <c r="BD109" s="145"/>
      <c r="BE109" s="145"/>
      <c r="BF109" s="145"/>
    </row>
    <row r="110" spans="1:58" ht="30" customHeight="1" thickBot="1" x14ac:dyDescent="0.25">
      <c r="A110" s="159"/>
      <c r="B110" s="1206" t="s">
        <v>272</v>
      </c>
      <c r="C110" s="1207"/>
      <c r="D110" s="1208"/>
      <c r="E110" s="1208"/>
      <c r="F110" s="1208"/>
      <c r="G110" s="1208"/>
      <c r="H110" s="1208"/>
      <c r="I110" s="1208"/>
      <c r="J110" s="1208"/>
      <c r="K110" s="1208"/>
      <c r="L110" s="1208"/>
      <c r="M110" s="1208"/>
      <c r="N110" s="1208"/>
      <c r="O110" s="1208"/>
      <c r="P110" s="1208"/>
      <c r="Q110" s="1208"/>
      <c r="R110" s="1208"/>
      <c r="S110" s="1208"/>
      <c r="T110" s="1208"/>
      <c r="U110" s="1208"/>
      <c r="V110" s="1208"/>
      <c r="W110" s="1209"/>
      <c r="X110" s="165"/>
      <c r="Y110" s="165"/>
      <c r="Z110" s="165"/>
      <c r="AA110" s="165"/>
      <c r="AB110" s="165"/>
      <c r="AC110" s="165"/>
      <c r="AD110" s="145"/>
      <c r="AV110" s="145"/>
      <c r="AW110" s="145"/>
      <c r="AX110" s="145"/>
      <c r="AY110" s="145"/>
      <c r="AZ110" s="145"/>
      <c r="BA110" s="145"/>
      <c r="BB110" s="145"/>
      <c r="BC110" s="145"/>
      <c r="BD110" s="145"/>
      <c r="BE110" s="145"/>
      <c r="BF110" s="145"/>
    </row>
    <row r="111" spans="1:58" ht="60" customHeight="1" thickBot="1" x14ac:dyDescent="0.25">
      <c r="A111" s="159"/>
      <c r="B111" s="1195" t="s">
        <v>168</v>
      </c>
      <c r="C111" s="549"/>
      <c r="D111" s="946" t="s">
        <v>37</v>
      </c>
      <c r="E111" s="947" t="s">
        <v>235</v>
      </c>
      <c r="F111" s="947" t="s">
        <v>234</v>
      </c>
      <c r="G111" s="947" t="s">
        <v>161</v>
      </c>
      <c r="H111" s="947" t="s">
        <v>206</v>
      </c>
      <c r="I111" s="947" t="s">
        <v>159</v>
      </c>
      <c r="J111" s="947" t="s">
        <v>207</v>
      </c>
      <c r="K111" s="948" t="s">
        <v>160</v>
      </c>
      <c r="L111" s="947" t="s">
        <v>383</v>
      </c>
      <c r="M111" s="947" t="s">
        <v>459</v>
      </c>
      <c r="N111" s="947" t="s">
        <v>526</v>
      </c>
      <c r="O111" s="947" t="s">
        <v>527</v>
      </c>
      <c r="P111" s="1145" t="s">
        <v>525</v>
      </c>
      <c r="Q111" s="947" t="s">
        <v>528</v>
      </c>
      <c r="R111" s="947" t="s">
        <v>529</v>
      </c>
      <c r="S111" s="1145" t="s">
        <v>525</v>
      </c>
      <c r="T111" s="947" t="s">
        <v>530</v>
      </c>
      <c r="U111" s="947" t="s">
        <v>531</v>
      </c>
      <c r="V111" s="1145" t="s">
        <v>525</v>
      </c>
      <c r="W111" s="1146" t="s">
        <v>610</v>
      </c>
      <c r="X111" s="165"/>
      <c r="Y111" s="165"/>
      <c r="Z111" s="165"/>
      <c r="AA111" s="165"/>
      <c r="AB111" s="165"/>
      <c r="AC111" s="1227" t="s">
        <v>376</v>
      </c>
      <c r="AD111" s="1228"/>
      <c r="AE111" s="1228"/>
      <c r="AF111" s="1229"/>
      <c r="AG111" s="165"/>
      <c r="AH111" s="1192" t="s">
        <v>377</v>
      </c>
      <c r="AI111" s="1193"/>
      <c r="AV111" s="145"/>
      <c r="AW111" s="145"/>
      <c r="AX111" s="145"/>
      <c r="AY111" s="145"/>
      <c r="AZ111" s="145"/>
      <c r="BA111" s="145"/>
      <c r="BB111" s="145"/>
      <c r="BC111" s="145"/>
      <c r="BD111" s="145"/>
      <c r="BE111" s="145"/>
      <c r="BF111" s="145"/>
    </row>
    <row r="112" spans="1:58" ht="30" customHeight="1" thickBot="1" x14ac:dyDescent="0.25">
      <c r="A112" s="159"/>
      <c r="B112" s="1196"/>
      <c r="C112" s="949"/>
      <c r="D112" s="164"/>
      <c r="E112" s="179"/>
      <c r="F112" s="179"/>
      <c r="G112" s="179"/>
      <c r="H112" s="179"/>
      <c r="I112" s="179"/>
      <c r="J112" s="179"/>
      <c r="K112" s="561"/>
      <c r="L112" s="561"/>
      <c r="M112" s="561"/>
      <c r="N112" s="943"/>
      <c r="O112" s="950"/>
      <c r="P112" s="164"/>
      <c r="Q112" s="164"/>
      <c r="R112" s="164"/>
      <c r="S112" s="164"/>
      <c r="T112" s="179"/>
      <c r="U112" s="179"/>
      <c r="V112" s="179"/>
      <c r="W112" s="180"/>
      <c r="AA112" s="165"/>
      <c r="AB112" s="165"/>
      <c r="AC112" s="1230" t="s">
        <v>505</v>
      </c>
      <c r="AD112" s="1231"/>
      <c r="AE112" s="1231"/>
      <c r="AF112" s="1232"/>
      <c r="AG112" s="165"/>
      <c r="AH112" s="547"/>
      <c r="AI112" s="548"/>
      <c r="AV112" s="145"/>
      <c r="AW112" s="145"/>
      <c r="AX112" s="145"/>
      <c r="AY112" s="145"/>
      <c r="AZ112" s="145"/>
      <c r="BA112" s="145"/>
      <c r="BB112" s="145"/>
      <c r="BC112" s="145"/>
      <c r="BD112" s="145"/>
      <c r="BE112" s="145"/>
      <c r="BF112" s="145"/>
    </row>
    <row r="113" spans="1:58" ht="33.950000000000003" customHeight="1" thickBot="1" x14ac:dyDescent="0.25">
      <c r="A113" s="159"/>
      <c r="B113" s="1197"/>
      <c r="C113" s="983" t="s">
        <v>193</v>
      </c>
      <c r="D113" s="486" t="s">
        <v>331</v>
      </c>
      <c r="E113" s="486" t="s">
        <v>331</v>
      </c>
      <c r="F113" s="486" t="s">
        <v>331</v>
      </c>
      <c r="G113" s="486" t="s">
        <v>331</v>
      </c>
      <c r="H113" s="486" t="s">
        <v>331</v>
      </c>
      <c r="I113" s="486" t="s">
        <v>331</v>
      </c>
      <c r="J113" s="486" t="s">
        <v>331</v>
      </c>
      <c r="K113" s="486" t="s">
        <v>331</v>
      </c>
      <c r="L113" s="486" t="s">
        <v>331</v>
      </c>
      <c r="M113" s="486" t="s">
        <v>463</v>
      </c>
      <c r="N113" s="1147"/>
      <c r="O113" s="1123"/>
      <c r="P113" s="1148">
        <f>+N113-O113</f>
        <v>0</v>
      </c>
      <c r="Q113" s="1123"/>
      <c r="R113" s="1123"/>
      <c r="S113" s="1148">
        <f>+Q113-R113</f>
        <v>0</v>
      </c>
      <c r="T113" s="1123"/>
      <c r="U113" s="1123"/>
      <c r="V113" s="1148">
        <f>+T113-U113</f>
        <v>0</v>
      </c>
      <c r="W113" s="1149">
        <f>ABS(MAX(P113,S113,V113))</f>
        <v>0</v>
      </c>
      <c r="AA113" s="165"/>
      <c r="AB113" s="165"/>
      <c r="AC113" s="553" t="s">
        <v>208</v>
      </c>
      <c r="AD113" s="554" t="s">
        <v>506</v>
      </c>
      <c r="AE113" s="555" t="s">
        <v>224</v>
      </c>
      <c r="AF113" s="556" t="s">
        <v>4</v>
      </c>
      <c r="AG113" s="165"/>
      <c r="AH113" s="993" t="s">
        <v>210</v>
      </c>
      <c r="AI113" s="892"/>
      <c r="AV113" s="145"/>
      <c r="AW113" s="145"/>
      <c r="AX113" s="145"/>
      <c r="AY113" s="145"/>
      <c r="AZ113" s="145"/>
      <c r="BA113" s="145"/>
      <c r="BB113" s="145"/>
      <c r="BC113" s="145"/>
      <c r="BD113" s="145"/>
      <c r="BE113" s="145"/>
      <c r="BF113" s="145"/>
    </row>
    <row r="114" spans="1:58" ht="33.950000000000003" customHeight="1" x14ac:dyDescent="0.2">
      <c r="A114" s="159"/>
      <c r="B114" s="1197"/>
      <c r="C114" s="984" t="s">
        <v>194</v>
      </c>
      <c r="D114" s="327" t="s">
        <v>241</v>
      </c>
      <c r="E114" s="327">
        <v>27760</v>
      </c>
      <c r="F114" s="327">
        <v>5.0199999999999996</v>
      </c>
      <c r="G114" s="327">
        <v>0.05</v>
      </c>
      <c r="H114" s="327">
        <v>0.02</v>
      </c>
      <c r="I114" s="327">
        <v>3.7999999999999999E-2</v>
      </c>
      <c r="J114" s="568">
        <v>2</v>
      </c>
      <c r="K114" s="985">
        <v>43027</v>
      </c>
      <c r="L114" s="317" t="s">
        <v>275</v>
      </c>
      <c r="M114" s="327" t="s">
        <v>460</v>
      </c>
      <c r="N114" s="1150">
        <v>0.51</v>
      </c>
      <c r="O114" s="1150">
        <v>0.5</v>
      </c>
      <c r="P114" s="1151">
        <f>N114-O114</f>
        <v>1.0000000000000009E-2</v>
      </c>
      <c r="Q114" s="1119">
        <v>2.52</v>
      </c>
      <c r="R114" s="1119">
        <v>2.5099999999999998</v>
      </c>
      <c r="S114" s="1151">
        <f>Q114-R114</f>
        <v>1.0000000000000231E-2</v>
      </c>
      <c r="T114" s="1119">
        <v>5.0199999999999996</v>
      </c>
      <c r="U114" s="1119">
        <v>5.0199999999999996</v>
      </c>
      <c r="V114" s="1151">
        <f>T114-U114</f>
        <v>0</v>
      </c>
      <c r="W114" s="1152">
        <f>ABS(MAX(P114,S114,V114))</f>
        <v>1.0000000000000231E-2</v>
      </c>
      <c r="AA114" s="165"/>
      <c r="AB114" s="165"/>
      <c r="AC114" s="994"/>
      <c r="AD114" s="995"/>
      <c r="AE114" s="995"/>
      <c r="AF114" s="996"/>
      <c r="AG114" s="165"/>
      <c r="AH114" s="558" t="s">
        <v>564</v>
      </c>
      <c r="AI114" s="559"/>
      <c r="AV114" s="145"/>
      <c r="AW114" s="145"/>
      <c r="AX114" s="145"/>
      <c r="AY114" s="145"/>
      <c r="AZ114" s="145"/>
      <c r="BA114" s="145"/>
      <c r="BB114" s="145"/>
      <c r="BC114" s="145"/>
      <c r="BD114" s="145"/>
      <c r="BE114" s="145"/>
      <c r="BF114" s="145"/>
    </row>
    <row r="115" spans="1:58" ht="33.950000000000003" customHeight="1" x14ac:dyDescent="0.2">
      <c r="A115" s="159"/>
      <c r="B115" s="1197"/>
      <c r="C115" s="984" t="s">
        <v>195</v>
      </c>
      <c r="D115" s="327" t="s">
        <v>331</v>
      </c>
      <c r="E115" s="327" t="s">
        <v>331</v>
      </c>
      <c r="F115" s="327" t="s">
        <v>331</v>
      </c>
      <c r="G115" s="327" t="s">
        <v>331</v>
      </c>
      <c r="H115" s="327" t="s">
        <v>331</v>
      </c>
      <c r="I115" s="327" t="s">
        <v>331</v>
      </c>
      <c r="J115" s="327" t="s">
        <v>331</v>
      </c>
      <c r="K115" s="985" t="s">
        <v>331</v>
      </c>
      <c r="L115" s="317" t="s">
        <v>331</v>
      </c>
      <c r="M115" s="327" t="s">
        <v>463</v>
      </c>
      <c r="N115" s="1153"/>
      <c r="O115" s="1119"/>
      <c r="P115" s="1151">
        <f>+N115-O115</f>
        <v>0</v>
      </c>
      <c r="Q115" s="1119"/>
      <c r="R115" s="1119"/>
      <c r="S115" s="1151">
        <f>+Q115-R115</f>
        <v>0</v>
      </c>
      <c r="T115" s="1119"/>
      <c r="U115" s="1119"/>
      <c r="V115" s="1151">
        <f>+T115-U115</f>
        <v>0</v>
      </c>
      <c r="W115" s="1152">
        <f>ABS(MAX(P115,S115,V115))</f>
        <v>0</v>
      </c>
      <c r="AA115" s="165"/>
      <c r="AB115" s="165"/>
      <c r="AC115" s="984" t="s">
        <v>507</v>
      </c>
      <c r="AD115" s="327">
        <v>0.25</v>
      </c>
      <c r="AE115" s="327">
        <v>80</v>
      </c>
      <c r="AF115" s="997">
        <f>AF116/2</f>
        <v>4.0967649999999995</v>
      </c>
      <c r="AG115" s="165"/>
      <c r="AH115" s="984">
        <v>316</v>
      </c>
      <c r="AI115" s="559">
        <v>4.7700000000000001E-5</v>
      </c>
      <c r="AV115" s="145"/>
      <c r="AW115" s="145"/>
      <c r="AX115" s="145"/>
      <c r="AY115" s="145"/>
      <c r="AZ115" s="145"/>
      <c r="BA115" s="145"/>
      <c r="BB115" s="145"/>
      <c r="BC115" s="145"/>
      <c r="BD115" s="145"/>
      <c r="BE115" s="145"/>
      <c r="BF115" s="145"/>
    </row>
    <row r="116" spans="1:58" ht="33.950000000000003" customHeight="1" x14ac:dyDescent="0.2">
      <c r="A116" s="159"/>
      <c r="B116" s="1197"/>
      <c r="C116" s="984" t="s">
        <v>196</v>
      </c>
      <c r="D116" s="327" t="s">
        <v>241</v>
      </c>
      <c r="E116" s="327">
        <v>27761</v>
      </c>
      <c r="F116" s="327">
        <v>10.02</v>
      </c>
      <c r="G116" s="327">
        <v>0.1</v>
      </c>
      <c r="H116" s="327">
        <v>0.02</v>
      </c>
      <c r="I116" s="327">
        <v>6.7000000000000004E-2</v>
      </c>
      <c r="J116" s="568">
        <v>2</v>
      </c>
      <c r="K116" s="985">
        <v>43020</v>
      </c>
      <c r="L116" s="317" t="s">
        <v>276</v>
      </c>
      <c r="M116" s="327" t="s">
        <v>461</v>
      </c>
      <c r="N116" s="1153">
        <v>1</v>
      </c>
      <c r="O116" s="1119">
        <v>1.0069999999999999</v>
      </c>
      <c r="P116" s="1151">
        <f>N116-O116</f>
        <v>-6.9999999999998952E-3</v>
      </c>
      <c r="Q116" s="1119">
        <v>5.01</v>
      </c>
      <c r="R116" s="1119">
        <v>5.0140000000000002</v>
      </c>
      <c r="S116" s="1151">
        <f>+Q116-R116</f>
        <v>-4.0000000000004476E-3</v>
      </c>
      <c r="T116" s="1119">
        <v>10.02</v>
      </c>
      <c r="U116" s="1119">
        <v>10.022</v>
      </c>
      <c r="V116" s="1151">
        <f>+T116-U116</f>
        <v>-2.0000000000006679E-3</v>
      </c>
      <c r="W116" s="1152">
        <f>ABS(MAX(P116,S116,V116))</f>
        <v>2.0000000000006679E-3</v>
      </c>
      <c r="AA116" s="165"/>
      <c r="AB116" s="165"/>
      <c r="AC116" s="984" t="s">
        <v>508</v>
      </c>
      <c r="AD116" s="327">
        <v>0.5</v>
      </c>
      <c r="AE116" s="327">
        <v>40</v>
      </c>
      <c r="AF116" s="997">
        <f>AF117/2</f>
        <v>8.1935299999999991</v>
      </c>
      <c r="AG116" s="165"/>
      <c r="AH116" s="984">
        <v>304</v>
      </c>
      <c r="AI116" s="559">
        <v>5.1799999999999999E-5</v>
      </c>
      <c r="AV116" s="145"/>
      <c r="AW116" s="145"/>
      <c r="AX116" s="145"/>
      <c r="AY116" s="145"/>
      <c r="AZ116" s="145"/>
      <c r="BA116" s="145"/>
      <c r="BB116" s="145"/>
      <c r="BC116" s="145"/>
      <c r="BD116" s="145"/>
      <c r="BE116" s="145"/>
      <c r="BF116" s="145"/>
    </row>
    <row r="117" spans="1:58" ht="33.950000000000003" customHeight="1" thickBot="1" x14ac:dyDescent="0.25">
      <c r="A117" s="159"/>
      <c r="B117" s="1198"/>
      <c r="C117" s="988" t="s">
        <v>197</v>
      </c>
      <c r="D117" s="220" t="s">
        <v>241</v>
      </c>
      <c r="E117" s="220">
        <v>27762</v>
      </c>
      <c r="F117" s="220">
        <v>24.9</v>
      </c>
      <c r="G117" s="220">
        <v>0.1</v>
      </c>
      <c r="H117" s="220">
        <v>-0.1</v>
      </c>
      <c r="I117" s="220">
        <v>6.5000000000000002E-2</v>
      </c>
      <c r="J117" s="491">
        <v>2</v>
      </c>
      <c r="K117" s="989">
        <v>43025</v>
      </c>
      <c r="L117" s="330" t="s">
        <v>277</v>
      </c>
      <c r="M117" s="220" t="s">
        <v>462</v>
      </c>
      <c r="N117" s="1154">
        <v>2.48</v>
      </c>
      <c r="O117" s="1154">
        <v>2.48</v>
      </c>
      <c r="P117" s="1155">
        <f>N117-O117</f>
        <v>0</v>
      </c>
      <c r="Q117" s="1156">
        <v>12.5</v>
      </c>
      <c r="R117" s="1156">
        <v>12.5</v>
      </c>
      <c r="S117" s="1155">
        <f>Q117-R117</f>
        <v>0</v>
      </c>
      <c r="T117" s="1156">
        <v>24.9</v>
      </c>
      <c r="U117" s="1156">
        <v>24.8</v>
      </c>
      <c r="V117" s="1155">
        <f>T117-U117</f>
        <v>9.9999999999997868E-2</v>
      </c>
      <c r="W117" s="1157">
        <f>ABS(MAX(P117,S117,V117))</f>
        <v>9.9999999999997868E-2</v>
      </c>
      <c r="AA117" s="165"/>
      <c r="AB117" s="165"/>
      <c r="AC117" s="984" t="s">
        <v>509</v>
      </c>
      <c r="AD117" s="327">
        <v>1</v>
      </c>
      <c r="AE117" s="327">
        <v>20</v>
      </c>
      <c r="AF117" s="997">
        <f>'RT03-F11 @ '!L30</f>
        <v>16.387059999999998</v>
      </c>
      <c r="AG117" s="165"/>
      <c r="AH117" s="984"/>
      <c r="AI117" s="559"/>
      <c r="AV117" s="145"/>
      <c r="AW117" s="145"/>
      <c r="AX117" s="145"/>
      <c r="AY117" s="145"/>
      <c r="AZ117" s="145"/>
      <c r="BA117" s="145"/>
      <c r="BB117" s="145"/>
      <c r="BC117" s="145"/>
      <c r="BD117" s="145"/>
      <c r="BE117" s="145"/>
      <c r="BF117" s="145"/>
    </row>
    <row r="118" spans="1:58" ht="30" customHeight="1" thickBot="1" x14ac:dyDescent="0.25">
      <c r="A118" s="159"/>
      <c r="B118" s="145"/>
      <c r="C118" s="145"/>
      <c r="D118" s="145"/>
      <c r="E118" s="145"/>
      <c r="F118" s="145"/>
      <c r="G118" s="145"/>
      <c r="H118" s="145"/>
      <c r="I118" s="145"/>
      <c r="J118" s="145"/>
      <c r="K118" s="160"/>
      <c r="L118" s="145"/>
      <c r="M118" s="152"/>
      <c r="N118" s="152"/>
      <c r="O118" s="165"/>
      <c r="T118" s="165"/>
      <c r="U118" s="165"/>
      <c r="V118" s="165"/>
      <c r="AA118" s="165"/>
      <c r="AB118" s="165"/>
      <c r="AC118" s="988" t="s">
        <v>288</v>
      </c>
      <c r="AD118" s="220">
        <v>5</v>
      </c>
      <c r="AE118" s="220">
        <v>40</v>
      </c>
      <c r="AF118" s="998">
        <f>('RT03-F11 @ '!M30*0.05)/100</f>
        <v>9.4635274999999996</v>
      </c>
      <c r="AG118" s="165"/>
      <c r="AH118" s="988"/>
      <c r="AI118" s="999"/>
      <c r="AV118" s="145"/>
      <c r="AW118" s="145"/>
      <c r="AX118" s="145"/>
      <c r="AY118" s="145"/>
      <c r="AZ118" s="145"/>
      <c r="BA118" s="145"/>
      <c r="BB118" s="145"/>
      <c r="BC118" s="145"/>
      <c r="BD118" s="145"/>
      <c r="BE118" s="145"/>
      <c r="BF118" s="145"/>
    </row>
    <row r="119" spans="1:58" ht="30" customHeight="1" thickBot="1" x14ac:dyDescent="0.25">
      <c r="A119" s="159"/>
      <c r="B119" s="1206" t="s">
        <v>272</v>
      </c>
      <c r="C119" s="1207"/>
      <c r="D119" s="1208"/>
      <c r="E119" s="1208"/>
      <c r="F119" s="1208"/>
      <c r="G119" s="1208"/>
      <c r="H119" s="1208"/>
      <c r="I119" s="1208"/>
      <c r="J119" s="1208"/>
      <c r="K119" s="1208"/>
      <c r="L119" s="1208"/>
      <c r="M119" s="1208"/>
      <c r="N119" s="1208"/>
      <c r="O119" s="1208"/>
      <c r="P119" s="1208"/>
      <c r="Q119" s="1208"/>
      <c r="R119" s="1208"/>
      <c r="S119" s="1208"/>
      <c r="T119" s="1208"/>
      <c r="U119" s="1208"/>
      <c r="V119" s="1208"/>
      <c r="W119" s="1208"/>
      <c r="X119" s="1208"/>
      <c r="Y119" s="1208"/>
      <c r="Z119" s="1208"/>
      <c r="AA119" s="1209"/>
      <c r="AB119" s="165"/>
      <c r="AC119" s="165"/>
      <c r="AD119" s="145"/>
      <c r="AV119" s="145"/>
      <c r="AW119" s="145"/>
      <c r="AX119" s="145"/>
      <c r="AY119" s="145"/>
      <c r="AZ119" s="145"/>
      <c r="BA119" s="145"/>
      <c r="BB119" s="145"/>
      <c r="BC119" s="145"/>
      <c r="BD119" s="145"/>
      <c r="BE119" s="145"/>
      <c r="BF119" s="145"/>
    </row>
    <row r="120" spans="1:58" ht="60" customHeight="1" thickBot="1" x14ac:dyDescent="0.25">
      <c r="A120" s="159"/>
      <c r="B120" s="1195" t="s">
        <v>169</v>
      </c>
      <c r="C120" s="549"/>
      <c r="D120" s="494" t="s">
        <v>37</v>
      </c>
      <c r="E120" s="550" t="s">
        <v>233</v>
      </c>
      <c r="F120" s="550" t="s">
        <v>234</v>
      </c>
      <c r="G120" s="550" t="s">
        <v>161</v>
      </c>
      <c r="H120" s="550" t="s">
        <v>206</v>
      </c>
      <c r="I120" s="550" t="s">
        <v>159</v>
      </c>
      <c r="J120" s="550" t="s">
        <v>207</v>
      </c>
      <c r="K120" s="931" t="s">
        <v>160</v>
      </c>
      <c r="L120" s="550" t="s">
        <v>383</v>
      </c>
      <c r="M120" s="550" t="s">
        <v>459</v>
      </c>
      <c r="N120" s="1278" t="s">
        <v>225</v>
      </c>
      <c r="O120" s="1278"/>
      <c r="P120" s="550" t="s">
        <v>378</v>
      </c>
      <c r="Q120" s="550" t="s">
        <v>379</v>
      </c>
      <c r="R120" s="1062" t="s">
        <v>526</v>
      </c>
      <c r="S120" s="1062" t="s">
        <v>527</v>
      </c>
      <c r="T120" s="1158" t="s">
        <v>525</v>
      </c>
      <c r="U120" s="1062" t="s">
        <v>528</v>
      </c>
      <c r="V120" s="1062" t="s">
        <v>529</v>
      </c>
      <c r="W120" s="1158" t="s">
        <v>525</v>
      </c>
      <c r="X120" s="1062" t="s">
        <v>530</v>
      </c>
      <c r="Y120" s="1062" t="s">
        <v>531</v>
      </c>
      <c r="Z120" s="1158" t="s">
        <v>525</v>
      </c>
      <c r="AA120" s="552" t="s">
        <v>610</v>
      </c>
      <c r="AB120" s="165"/>
      <c r="AC120" s="165"/>
      <c r="AD120" s="145"/>
      <c r="AV120" s="145"/>
      <c r="AW120" s="145"/>
      <c r="AX120" s="145"/>
      <c r="AY120" s="145"/>
      <c r="AZ120" s="145"/>
      <c r="BA120" s="145"/>
      <c r="BB120" s="145"/>
      <c r="BC120" s="145"/>
      <c r="BD120" s="145"/>
      <c r="BE120" s="145"/>
      <c r="BF120" s="145"/>
    </row>
    <row r="121" spans="1:58" ht="30" customHeight="1" thickBot="1" x14ac:dyDescent="0.25">
      <c r="A121" s="159"/>
      <c r="B121" s="1196"/>
      <c r="C121" s="549"/>
      <c r="D121" s="145"/>
      <c r="E121" s="170"/>
      <c r="F121" s="170"/>
      <c r="G121" s="170"/>
      <c r="H121" s="170"/>
      <c r="I121" s="170"/>
      <c r="J121" s="170"/>
      <c r="K121" s="522"/>
      <c r="L121" s="145"/>
      <c r="M121" s="522"/>
      <c r="N121" s="165"/>
      <c r="O121" s="924"/>
      <c r="P121" s="924"/>
      <c r="Q121" s="165"/>
      <c r="R121" s="152"/>
      <c r="S121" s="165"/>
      <c r="T121" s="145"/>
      <c r="U121" s="145"/>
      <c r="V121" s="145"/>
      <c r="W121" s="145"/>
      <c r="X121" s="170"/>
      <c r="Y121" s="170"/>
      <c r="Z121" s="170"/>
      <c r="AA121" s="901"/>
      <c r="AB121" s="165"/>
      <c r="AC121" s="165"/>
      <c r="AD121" s="145"/>
      <c r="AV121" s="145"/>
      <c r="AW121" s="145"/>
      <c r="AX121" s="145"/>
      <c r="AY121" s="145"/>
      <c r="AZ121" s="145"/>
      <c r="BA121" s="145"/>
      <c r="BB121" s="145"/>
      <c r="BC121" s="145"/>
      <c r="BD121" s="145"/>
      <c r="BE121" s="145"/>
      <c r="BF121" s="145"/>
    </row>
    <row r="122" spans="1:58" ht="33.950000000000003" customHeight="1" x14ac:dyDescent="0.2">
      <c r="A122" s="159"/>
      <c r="B122" s="1197"/>
      <c r="C122" s="983" t="s">
        <v>198</v>
      </c>
      <c r="D122" s="486" t="s">
        <v>242</v>
      </c>
      <c r="E122" s="486" t="s">
        <v>278</v>
      </c>
      <c r="F122" s="486" t="s">
        <v>449</v>
      </c>
      <c r="G122" s="566">
        <v>1</v>
      </c>
      <c r="H122" s="486">
        <v>0.27</v>
      </c>
      <c r="I122" s="487">
        <v>0.17</v>
      </c>
      <c r="J122" s="487">
        <v>2.1</v>
      </c>
      <c r="K122" s="987">
        <v>42523</v>
      </c>
      <c r="L122" s="951" t="s">
        <v>274</v>
      </c>
      <c r="M122" s="486" t="s">
        <v>532</v>
      </c>
      <c r="N122" s="486">
        <v>10</v>
      </c>
      <c r="O122" s="486">
        <v>100</v>
      </c>
      <c r="P122" s="486">
        <v>10.3</v>
      </c>
      <c r="Q122" s="486">
        <v>100.24</v>
      </c>
      <c r="R122" s="1123">
        <v>21.21</v>
      </c>
      <c r="S122" s="1123">
        <v>50</v>
      </c>
      <c r="T122" s="1148">
        <f>R122-S122</f>
        <v>-28.79</v>
      </c>
      <c r="U122" s="1123">
        <v>60.81</v>
      </c>
      <c r="V122" s="1123">
        <v>250.071</v>
      </c>
      <c r="W122" s="1148">
        <f>U122-V122</f>
        <v>-189.261</v>
      </c>
      <c r="X122" s="1123">
        <v>100.27</v>
      </c>
      <c r="Y122" s="1123">
        <v>500.66699999999997</v>
      </c>
      <c r="Z122" s="1148">
        <f>X122-Y122</f>
        <v>-400.39699999999999</v>
      </c>
      <c r="AA122" s="1149">
        <f t="shared" ref="AA122:AA127" si="0">ABS(MAX(T122,W122,Z122))</f>
        <v>28.79</v>
      </c>
      <c r="AB122" s="165"/>
      <c r="AC122" s="165"/>
      <c r="AD122" s="145"/>
      <c r="AV122" s="145"/>
      <c r="AW122" s="145"/>
      <c r="AX122" s="145"/>
      <c r="AY122" s="145"/>
      <c r="AZ122" s="145"/>
      <c r="BA122" s="145"/>
      <c r="BB122" s="145"/>
      <c r="BC122" s="145"/>
      <c r="BD122" s="145"/>
      <c r="BE122" s="145"/>
      <c r="BF122" s="145"/>
    </row>
    <row r="123" spans="1:58" ht="33.950000000000003" customHeight="1" x14ac:dyDescent="0.2">
      <c r="A123" s="159"/>
      <c r="B123" s="1197"/>
      <c r="C123" s="984" t="s">
        <v>199</v>
      </c>
      <c r="D123" s="327" t="s">
        <v>241</v>
      </c>
      <c r="E123" s="327">
        <v>27755</v>
      </c>
      <c r="F123" s="327">
        <v>499.68</v>
      </c>
      <c r="G123" s="568">
        <v>5</v>
      </c>
      <c r="H123" s="327">
        <v>-0.32</v>
      </c>
      <c r="I123" s="327">
        <v>2.9</v>
      </c>
      <c r="J123" s="568">
        <v>2</v>
      </c>
      <c r="K123" s="985">
        <v>43010</v>
      </c>
      <c r="L123" s="327" t="s">
        <v>279</v>
      </c>
      <c r="M123" s="327" t="s">
        <v>533</v>
      </c>
      <c r="N123" s="327">
        <v>50</v>
      </c>
      <c r="O123" s="327">
        <v>500</v>
      </c>
      <c r="P123" s="327">
        <v>50.14</v>
      </c>
      <c r="Q123" s="327">
        <v>499.68</v>
      </c>
      <c r="R123" s="1119">
        <v>50.14</v>
      </c>
      <c r="S123" s="1119">
        <v>50</v>
      </c>
      <c r="T123" s="1151">
        <f>R123-S123</f>
        <v>0.14000000000000057</v>
      </c>
      <c r="U123" s="1119">
        <v>249.77</v>
      </c>
      <c r="V123" s="1119">
        <v>250.071</v>
      </c>
      <c r="W123" s="1151">
        <f>U123-V123</f>
        <v>-0.30099999999998772</v>
      </c>
      <c r="X123" s="1119">
        <v>499.68</v>
      </c>
      <c r="Y123" s="1119">
        <v>500.66699999999997</v>
      </c>
      <c r="Z123" s="1151">
        <f>X123-Y123</f>
        <v>-0.98699999999996635</v>
      </c>
      <c r="AA123" s="1152">
        <f t="shared" si="0"/>
        <v>0.14000000000000057</v>
      </c>
      <c r="AV123" s="145"/>
      <c r="AW123" s="145"/>
      <c r="AX123" s="145"/>
      <c r="AY123" s="145"/>
      <c r="AZ123" s="145"/>
      <c r="BA123" s="145"/>
      <c r="BB123" s="145"/>
      <c r="BC123" s="145"/>
      <c r="BD123" s="145"/>
      <c r="BE123" s="145"/>
      <c r="BF123" s="145"/>
    </row>
    <row r="124" spans="1:58" ht="33.950000000000003" customHeight="1" x14ac:dyDescent="0.2">
      <c r="A124" s="159"/>
      <c r="B124" s="1197"/>
      <c r="C124" s="984" t="s">
        <v>200</v>
      </c>
      <c r="D124" s="327" t="s">
        <v>331</v>
      </c>
      <c r="E124" s="327" t="s">
        <v>331</v>
      </c>
      <c r="F124" s="327" t="s">
        <v>331</v>
      </c>
      <c r="G124" s="327" t="s">
        <v>331</v>
      </c>
      <c r="H124" s="327" t="s">
        <v>331</v>
      </c>
      <c r="I124" s="327" t="s">
        <v>331</v>
      </c>
      <c r="J124" s="327" t="s">
        <v>331</v>
      </c>
      <c r="K124" s="327" t="s">
        <v>331</v>
      </c>
      <c r="L124" s="327" t="s">
        <v>331</v>
      </c>
      <c r="M124" s="327" t="s">
        <v>331</v>
      </c>
      <c r="N124" s="327" t="s">
        <v>331</v>
      </c>
      <c r="O124" s="327" t="s">
        <v>331</v>
      </c>
      <c r="P124" s="327" t="s">
        <v>331</v>
      </c>
      <c r="Q124" s="327" t="s">
        <v>331</v>
      </c>
      <c r="R124" s="1153"/>
      <c r="S124" s="1119"/>
      <c r="T124" s="1151">
        <f>+R124-S124</f>
        <v>0</v>
      </c>
      <c r="U124" s="1119"/>
      <c r="V124" s="1119"/>
      <c r="W124" s="1151">
        <f>+U124-V124</f>
        <v>0</v>
      </c>
      <c r="X124" s="1119"/>
      <c r="Y124" s="1119"/>
      <c r="Z124" s="1151">
        <f>+X124-Y124</f>
        <v>0</v>
      </c>
      <c r="AA124" s="1152">
        <f t="shared" si="0"/>
        <v>0</v>
      </c>
      <c r="AV124" s="145"/>
      <c r="AW124" s="145"/>
      <c r="AX124" s="145"/>
      <c r="AY124" s="145"/>
      <c r="AZ124" s="145"/>
      <c r="BA124" s="145"/>
      <c r="BB124" s="145"/>
      <c r="BC124" s="145"/>
      <c r="BD124" s="145"/>
      <c r="BE124" s="145"/>
      <c r="BF124" s="145"/>
    </row>
    <row r="125" spans="1:58" ht="33.950000000000003" customHeight="1" x14ac:dyDescent="0.2">
      <c r="A125" s="159"/>
      <c r="B125" s="1197"/>
      <c r="C125" s="984" t="s">
        <v>201</v>
      </c>
      <c r="D125" s="327" t="s">
        <v>241</v>
      </c>
      <c r="E125" s="327">
        <v>27757</v>
      </c>
      <c r="F125" s="327">
        <v>500.46</v>
      </c>
      <c r="G125" s="568">
        <v>5</v>
      </c>
      <c r="H125" s="327">
        <v>0.46</v>
      </c>
      <c r="I125" s="327">
        <v>2.9</v>
      </c>
      <c r="J125" s="568">
        <v>2</v>
      </c>
      <c r="K125" s="985">
        <v>43017</v>
      </c>
      <c r="L125" s="327" t="s">
        <v>280</v>
      </c>
      <c r="M125" s="327" t="s">
        <v>533</v>
      </c>
      <c r="N125" s="327">
        <v>50</v>
      </c>
      <c r="O125" s="327">
        <v>500</v>
      </c>
      <c r="P125" s="570">
        <v>50.7</v>
      </c>
      <c r="Q125" s="327">
        <v>500.46</v>
      </c>
      <c r="R125" s="1119">
        <v>50.7</v>
      </c>
      <c r="S125" s="1119">
        <v>50</v>
      </c>
      <c r="T125" s="1151">
        <f>R125-S125</f>
        <v>0.70000000000000284</v>
      </c>
      <c r="U125" s="1119">
        <v>250.64</v>
      </c>
      <c r="V125" s="1119">
        <v>250.071</v>
      </c>
      <c r="W125" s="1151">
        <f>+U125-V125</f>
        <v>0.5689999999999884</v>
      </c>
      <c r="X125" s="1119">
        <v>500.46</v>
      </c>
      <c r="Y125" s="1119">
        <v>500.66699999999997</v>
      </c>
      <c r="Z125" s="1151">
        <f>X125-Y125</f>
        <v>-0.20699999999999363</v>
      </c>
      <c r="AA125" s="1152">
        <f t="shared" si="0"/>
        <v>0.70000000000000284</v>
      </c>
      <c r="AV125" s="145"/>
      <c r="AW125" s="145"/>
      <c r="AX125" s="145"/>
      <c r="AY125" s="145"/>
      <c r="AZ125" s="145"/>
      <c r="BA125" s="145"/>
      <c r="BB125" s="145"/>
      <c r="BC125" s="145"/>
      <c r="BD125" s="145"/>
      <c r="BE125" s="145"/>
      <c r="BF125" s="145"/>
    </row>
    <row r="126" spans="1:58" ht="33.950000000000003" customHeight="1" x14ac:dyDescent="0.2">
      <c r="A126" s="159"/>
      <c r="B126" s="1197"/>
      <c r="C126" s="984" t="s">
        <v>202</v>
      </c>
      <c r="D126" s="327" t="s">
        <v>241</v>
      </c>
      <c r="E126" s="327">
        <v>27758</v>
      </c>
      <c r="F126" s="327">
        <v>500.34800000000001</v>
      </c>
      <c r="G126" s="568">
        <v>5</v>
      </c>
      <c r="H126" s="327">
        <v>0.34799999999999998</v>
      </c>
      <c r="I126" s="327">
        <v>3.5000000000000003E-2</v>
      </c>
      <c r="J126" s="327">
        <v>2</v>
      </c>
      <c r="K126" s="985">
        <v>42769</v>
      </c>
      <c r="L126" s="327" t="s">
        <v>281</v>
      </c>
      <c r="M126" s="327" t="s">
        <v>534</v>
      </c>
      <c r="N126" s="327">
        <v>100</v>
      </c>
      <c r="O126" s="327">
        <v>500</v>
      </c>
      <c r="P126" s="327">
        <v>100.286</v>
      </c>
      <c r="Q126" s="327">
        <v>500.34800000000001</v>
      </c>
      <c r="R126" s="1119">
        <v>50.14</v>
      </c>
      <c r="S126" s="1119">
        <v>50</v>
      </c>
      <c r="T126" s="1151">
        <f>R126-S126</f>
        <v>0.14000000000000057</v>
      </c>
      <c r="U126" s="1119">
        <v>249.77</v>
      </c>
      <c r="V126" s="1119">
        <v>250.071</v>
      </c>
      <c r="W126" s="1151">
        <f>U126-V126</f>
        <v>-0.30099999999998772</v>
      </c>
      <c r="X126" s="1119">
        <v>499.68</v>
      </c>
      <c r="Y126" s="1119">
        <v>500.66699999999997</v>
      </c>
      <c r="Z126" s="1151">
        <f>X126-Y126</f>
        <v>-0.98699999999996635</v>
      </c>
      <c r="AA126" s="1152">
        <f t="shared" si="0"/>
        <v>0.14000000000000057</v>
      </c>
      <c r="AV126" s="145"/>
      <c r="AW126" s="145"/>
      <c r="AX126" s="145"/>
      <c r="AY126" s="145"/>
      <c r="AZ126" s="145"/>
      <c r="BA126" s="145"/>
      <c r="BB126" s="145"/>
      <c r="BC126" s="145"/>
      <c r="BD126" s="145"/>
      <c r="BE126" s="145"/>
      <c r="BF126" s="145"/>
    </row>
    <row r="127" spans="1:58" ht="33.950000000000003" customHeight="1" thickBot="1" x14ac:dyDescent="0.25">
      <c r="A127" s="159"/>
      <c r="B127" s="1198"/>
      <c r="C127" s="988" t="s">
        <v>203</v>
      </c>
      <c r="D127" s="220" t="s">
        <v>241</v>
      </c>
      <c r="E127" s="220">
        <v>27759</v>
      </c>
      <c r="F127" s="220">
        <v>1000.625</v>
      </c>
      <c r="G127" s="491">
        <v>10</v>
      </c>
      <c r="H127" s="220">
        <v>0.625</v>
      </c>
      <c r="I127" s="220">
        <v>3.9E-2</v>
      </c>
      <c r="J127" s="220">
        <v>2</v>
      </c>
      <c r="K127" s="989">
        <v>42769</v>
      </c>
      <c r="L127" s="220" t="s">
        <v>282</v>
      </c>
      <c r="M127" s="220" t="s">
        <v>535</v>
      </c>
      <c r="N127" s="220">
        <v>200</v>
      </c>
      <c r="O127" s="220">
        <v>1000</v>
      </c>
      <c r="P127" s="220">
        <v>201.202</v>
      </c>
      <c r="Q127" s="220">
        <v>1000.625</v>
      </c>
      <c r="R127" s="1156">
        <v>50.14</v>
      </c>
      <c r="S127" s="1156">
        <v>50</v>
      </c>
      <c r="T127" s="1155">
        <f>R127-S127</f>
        <v>0.14000000000000057</v>
      </c>
      <c r="U127" s="1156">
        <v>249.77</v>
      </c>
      <c r="V127" s="1156">
        <v>250.071</v>
      </c>
      <c r="W127" s="1155">
        <f>U127-V127</f>
        <v>-0.30099999999998772</v>
      </c>
      <c r="X127" s="1156">
        <v>499.68</v>
      </c>
      <c r="Y127" s="1156">
        <v>500.66699999999997</v>
      </c>
      <c r="Z127" s="1155">
        <f>X127-Y127</f>
        <v>-0.98699999999996635</v>
      </c>
      <c r="AA127" s="1157">
        <f t="shared" si="0"/>
        <v>0.14000000000000057</v>
      </c>
      <c r="AV127" s="145"/>
      <c r="AW127" s="145"/>
      <c r="AX127" s="145"/>
      <c r="AY127" s="145"/>
      <c r="AZ127" s="145"/>
      <c r="BA127" s="145"/>
      <c r="BB127" s="145"/>
      <c r="BC127" s="145"/>
      <c r="BD127" s="145"/>
      <c r="BE127" s="145"/>
      <c r="BF127" s="145"/>
    </row>
    <row r="128" spans="1:58" ht="30" customHeight="1" thickBot="1" x14ac:dyDescent="0.25">
      <c r="A128" s="159"/>
      <c r="B128" s="145"/>
      <c r="C128" s="145"/>
      <c r="D128" s="145"/>
      <c r="E128" s="145"/>
      <c r="F128" s="145"/>
      <c r="G128" s="145"/>
      <c r="H128" s="145"/>
      <c r="I128" s="145"/>
      <c r="J128" s="145"/>
      <c r="K128" s="160"/>
      <c r="L128" s="145"/>
      <c r="M128" s="152"/>
      <c r="N128" s="152"/>
      <c r="O128" s="1194"/>
      <c r="P128" s="1194"/>
      <c r="Q128" s="1194"/>
      <c r="S128" s="543"/>
      <c r="T128" s="877"/>
      <c r="U128" s="877"/>
      <c r="V128" s="895"/>
      <c r="AV128" s="145"/>
      <c r="AW128" s="145"/>
      <c r="AX128" s="145"/>
      <c r="AY128" s="145"/>
      <c r="AZ128" s="145"/>
      <c r="BA128" s="145"/>
      <c r="BB128" s="145"/>
      <c r="BC128" s="145"/>
      <c r="BD128" s="145"/>
      <c r="BE128" s="145"/>
      <c r="BF128" s="145"/>
    </row>
    <row r="129" spans="1:58" ht="30" customHeight="1" thickBot="1" x14ac:dyDescent="0.25">
      <c r="A129" s="159"/>
      <c r="B129" s="1206" t="s">
        <v>176</v>
      </c>
      <c r="C129" s="1207"/>
      <c r="D129" s="1208"/>
      <c r="E129" s="1208"/>
      <c r="F129" s="1208"/>
      <c r="G129" s="1208"/>
      <c r="H129" s="1208"/>
      <c r="I129" s="1208"/>
      <c r="J129" s="1208"/>
      <c r="K129" s="1208"/>
      <c r="L129" s="1209"/>
      <c r="M129" s="152"/>
      <c r="N129" s="893"/>
      <c r="O129" s="893"/>
      <c r="P129" s="893"/>
      <c r="Q129" s="877"/>
      <c r="S129" s="897"/>
      <c r="T129" s="877"/>
      <c r="U129" s="877"/>
      <c r="V129" s="895"/>
      <c r="AV129" s="145"/>
      <c r="AW129" s="145"/>
      <c r="AX129" s="145"/>
      <c r="AY129" s="145"/>
      <c r="AZ129" s="145"/>
      <c r="BA129" s="145"/>
      <c r="BB129" s="145"/>
      <c r="BC129" s="145"/>
      <c r="BD129" s="145"/>
      <c r="BE129" s="145"/>
      <c r="BF129" s="145"/>
    </row>
    <row r="130" spans="1:58" ht="60" customHeight="1" thickBot="1" x14ac:dyDescent="0.25">
      <c r="A130" s="159"/>
      <c r="B130" s="1210" t="s">
        <v>380</v>
      </c>
      <c r="C130" s="949"/>
      <c r="D130" s="494" t="s">
        <v>37</v>
      </c>
      <c r="E130" s="550" t="s">
        <v>235</v>
      </c>
      <c r="F130" s="550" t="s">
        <v>234</v>
      </c>
      <c r="G130" s="550" t="s">
        <v>161</v>
      </c>
      <c r="H130" s="550" t="s">
        <v>206</v>
      </c>
      <c r="I130" s="550" t="s">
        <v>159</v>
      </c>
      <c r="J130" s="550" t="s">
        <v>207</v>
      </c>
      <c r="K130" s="931" t="s">
        <v>160</v>
      </c>
      <c r="L130" s="552" t="s">
        <v>383</v>
      </c>
      <c r="M130" s="152"/>
      <c r="N130" s="543"/>
      <c r="O130" s="877"/>
      <c r="P130" s="877"/>
      <c r="Q130" s="895"/>
      <c r="S130" s="877"/>
      <c r="T130" s="877"/>
      <c r="U130" s="898"/>
      <c r="V130" s="899"/>
      <c r="W130" s="165"/>
      <c r="AV130" s="145"/>
      <c r="AW130" s="145"/>
      <c r="AX130" s="145"/>
      <c r="AY130" s="145"/>
      <c r="AZ130" s="145"/>
      <c r="BA130" s="145"/>
      <c r="BB130" s="145"/>
      <c r="BC130" s="145"/>
      <c r="BD130" s="145"/>
      <c r="BE130" s="145"/>
      <c r="BF130" s="145"/>
    </row>
    <row r="131" spans="1:58" ht="30" customHeight="1" thickBot="1" x14ac:dyDescent="0.25">
      <c r="A131" s="159"/>
      <c r="B131" s="1211"/>
      <c r="C131" s="949"/>
      <c r="D131" s="174"/>
      <c r="E131" s="584"/>
      <c r="F131" s="584"/>
      <c r="G131" s="584"/>
      <c r="H131" s="584"/>
      <c r="I131" s="584"/>
      <c r="J131" s="584"/>
      <c r="K131" s="952"/>
      <c r="L131" s="954"/>
      <c r="M131" s="152"/>
      <c r="N131" s="543"/>
      <c r="O131" s="877"/>
      <c r="P131" s="877"/>
      <c r="Q131" s="895"/>
      <c r="R131" s="165"/>
      <c r="S131" s="152"/>
      <c r="T131" s="900"/>
      <c r="U131" s="900"/>
      <c r="V131" s="900"/>
      <c r="W131" s="165"/>
      <c r="X131" s="165"/>
      <c r="Y131" s="165"/>
      <c r="Z131" s="165"/>
      <c r="AA131" s="165"/>
      <c r="AB131" s="165"/>
      <c r="AC131" s="165"/>
      <c r="AD131" s="145"/>
      <c r="AV131" s="145"/>
      <c r="AW131" s="145"/>
      <c r="AX131" s="145"/>
      <c r="AY131" s="145"/>
      <c r="AZ131" s="145"/>
      <c r="BA131" s="145"/>
      <c r="BB131" s="145"/>
      <c r="BC131" s="145"/>
      <c r="BD131" s="145"/>
      <c r="BE131" s="145"/>
      <c r="BF131" s="145"/>
    </row>
    <row r="132" spans="1:58" ht="43.5" customHeight="1" thickBot="1" x14ac:dyDescent="0.25">
      <c r="A132" s="159"/>
      <c r="B132" s="1212"/>
      <c r="C132" s="953" t="s">
        <v>205</v>
      </c>
      <c r="D132" s="562" t="s">
        <v>244</v>
      </c>
      <c r="E132" s="562" t="s">
        <v>204</v>
      </c>
      <c r="F132" s="562">
        <v>120</v>
      </c>
      <c r="G132" s="562">
        <v>1E-4</v>
      </c>
      <c r="H132" s="990">
        <v>6.9499999999999998E-4</v>
      </c>
      <c r="I132" s="562">
        <v>1.5999999999999999E-5</v>
      </c>
      <c r="J132" s="562">
        <v>2.2999999999999998</v>
      </c>
      <c r="K132" s="991">
        <v>42846</v>
      </c>
      <c r="L132" s="992" t="s">
        <v>283</v>
      </c>
      <c r="M132" s="152"/>
      <c r="N132" s="877"/>
      <c r="O132" s="877"/>
      <c r="P132" s="877"/>
      <c r="Q132" s="895"/>
      <c r="R132" s="165"/>
      <c r="S132" s="543"/>
      <c r="T132" s="893"/>
      <c r="U132" s="893"/>
      <c r="V132" s="877"/>
      <c r="W132" s="165"/>
      <c r="X132" s="165"/>
      <c r="Y132" s="165"/>
      <c r="Z132" s="165"/>
      <c r="AA132" s="165"/>
      <c r="AB132" s="165"/>
      <c r="AC132" s="165"/>
      <c r="AD132" s="145"/>
      <c r="AV132" s="145"/>
      <c r="AW132" s="145"/>
      <c r="AX132" s="145"/>
      <c r="AY132" s="145"/>
      <c r="AZ132" s="145"/>
      <c r="BA132" s="145"/>
      <c r="BB132" s="145"/>
      <c r="BC132" s="145"/>
      <c r="BD132" s="145"/>
      <c r="BE132" s="145"/>
      <c r="BF132" s="145"/>
    </row>
    <row r="133" spans="1:58" ht="30" customHeight="1" x14ac:dyDescent="0.2">
      <c r="A133" s="159"/>
      <c r="B133" s="563"/>
      <c r="C133" s="170"/>
      <c r="D133" s="169"/>
      <c r="E133" s="170"/>
      <c r="F133" s="170"/>
      <c r="G133" s="170"/>
      <c r="H133" s="170"/>
      <c r="I133" s="170"/>
      <c r="J133" s="170"/>
      <c r="K133" s="522"/>
      <c r="L133" s="564"/>
      <c r="M133" s="152"/>
      <c r="N133" s="877"/>
      <c r="O133" s="451"/>
      <c r="P133" s="451"/>
      <c r="Q133" s="451"/>
      <c r="S133" s="543"/>
      <c r="T133" s="896"/>
      <c r="U133" s="896"/>
      <c r="V133" s="895"/>
      <c r="W133" s="165"/>
      <c r="X133" s="165"/>
      <c r="Y133" s="165"/>
      <c r="Z133" s="165"/>
      <c r="AA133" s="165"/>
      <c r="AB133" s="165"/>
      <c r="AC133" s="165"/>
      <c r="AD133" s="145"/>
      <c r="AV133" s="145"/>
      <c r="AW133" s="145"/>
      <c r="AX133" s="145"/>
      <c r="AY133" s="145"/>
      <c r="AZ133" s="145"/>
      <c r="BA133" s="145"/>
      <c r="BB133" s="145"/>
      <c r="BC133" s="145"/>
      <c r="BD133" s="145"/>
      <c r="BE133" s="145"/>
      <c r="BF133" s="145"/>
    </row>
    <row r="134" spans="1:58" ht="30" customHeight="1" thickBot="1" x14ac:dyDescent="0.25">
      <c r="A134" s="159"/>
      <c r="B134" s="145"/>
      <c r="C134" s="145"/>
      <c r="D134" s="145"/>
      <c r="E134" s="145"/>
      <c r="F134" s="145"/>
      <c r="G134" s="145"/>
      <c r="H134" s="145"/>
      <c r="I134" s="145"/>
      <c r="J134" s="145"/>
      <c r="K134" s="160"/>
      <c r="L134" s="145"/>
      <c r="M134" s="152"/>
      <c r="N134" s="152"/>
      <c r="O134" s="1194"/>
      <c r="P134" s="1194"/>
      <c r="Q134" s="1194"/>
      <c r="S134" s="543"/>
      <c r="T134" s="877"/>
      <c r="U134" s="877"/>
      <c r="V134" s="895"/>
      <c r="W134" s="165"/>
      <c r="X134" s="165"/>
      <c r="Y134" s="165"/>
      <c r="Z134" s="165"/>
      <c r="AA134" s="165"/>
      <c r="AB134" s="165"/>
      <c r="AC134" s="165"/>
      <c r="AD134" s="145"/>
      <c r="AV134" s="145"/>
      <c r="AW134" s="145"/>
      <c r="AX134" s="145"/>
      <c r="AY134" s="145"/>
      <c r="AZ134" s="145"/>
      <c r="BA134" s="145"/>
      <c r="BB134" s="145"/>
      <c r="BC134" s="145"/>
      <c r="BD134" s="145"/>
      <c r="BE134" s="145"/>
      <c r="BF134" s="145"/>
    </row>
    <row r="135" spans="1:58" ht="30" customHeight="1" thickBot="1" x14ac:dyDescent="0.25">
      <c r="A135" s="159"/>
      <c r="B135" s="1206" t="s">
        <v>175</v>
      </c>
      <c r="C135" s="1207"/>
      <c r="D135" s="1207"/>
      <c r="E135" s="1207"/>
      <c r="F135" s="1207"/>
      <c r="G135" s="1207"/>
      <c r="H135" s="1207"/>
      <c r="I135" s="1207"/>
      <c r="J135" s="1207"/>
      <c r="K135" s="1207"/>
      <c r="L135" s="1318"/>
      <c r="M135" s="152"/>
      <c r="N135" s="893"/>
      <c r="O135" s="893"/>
      <c r="P135" s="893"/>
      <c r="Q135" s="877"/>
      <c r="S135" s="897"/>
      <c r="T135" s="877"/>
      <c r="U135" s="877"/>
      <c r="V135" s="895"/>
      <c r="W135" s="165"/>
      <c r="X135" s="165"/>
      <c r="Y135" s="165"/>
      <c r="Z135" s="165"/>
      <c r="AA135" s="165"/>
      <c r="AB135" s="165"/>
      <c r="AC135" s="165"/>
      <c r="AD135" s="145"/>
      <c r="AV135" s="145"/>
      <c r="AW135" s="145"/>
      <c r="AX135" s="145"/>
      <c r="AY135" s="145"/>
      <c r="AZ135" s="145"/>
      <c r="BA135" s="145"/>
      <c r="BB135" s="145"/>
      <c r="BC135" s="145"/>
      <c r="BD135" s="145"/>
      <c r="BE135" s="145"/>
      <c r="BF135" s="145"/>
    </row>
    <row r="136" spans="1:58" ht="60" customHeight="1" thickBot="1" x14ac:dyDescent="0.25">
      <c r="A136" s="159"/>
      <c r="B136" s="145"/>
      <c r="C136" s="170"/>
      <c r="D136" s="494" t="s">
        <v>37</v>
      </c>
      <c r="E136" s="565" t="s">
        <v>235</v>
      </c>
      <c r="F136" s="550" t="s">
        <v>236</v>
      </c>
      <c r="G136" s="550" t="s">
        <v>161</v>
      </c>
      <c r="H136" s="550" t="s">
        <v>206</v>
      </c>
      <c r="I136" s="550" t="s">
        <v>159</v>
      </c>
      <c r="J136" s="550" t="s">
        <v>207</v>
      </c>
      <c r="K136" s="551" t="s">
        <v>160</v>
      </c>
      <c r="L136" s="552" t="s">
        <v>383</v>
      </c>
      <c r="M136" s="152"/>
      <c r="N136" s="543"/>
      <c r="O136" s="877"/>
      <c r="P136" s="877"/>
      <c r="Q136" s="895"/>
      <c r="S136" s="543"/>
      <c r="T136" s="877"/>
      <c r="U136" s="877"/>
      <c r="V136" s="894"/>
      <c r="W136" s="165"/>
      <c r="X136" s="165"/>
      <c r="Y136" s="165"/>
      <c r="Z136" s="165"/>
      <c r="AA136" s="165"/>
      <c r="AB136" s="165"/>
      <c r="AC136" s="165"/>
      <c r="AD136" s="145"/>
      <c r="AV136" s="145"/>
      <c r="AW136" s="145"/>
      <c r="AX136" s="145"/>
      <c r="AY136" s="145"/>
      <c r="AZ136" s="145"/>
      <c r="BA136" s="145"/>
      <c r="BB136" s="145"/>
      <c r="BC136" s="145"/>
      <c r="BD136" s="145"/>
      <c r="BE136" s="145"/>
      <c r="BF136" s="145"/>
    </row>
    <row r="137" spans="1:58" ht="30" customHeight="1" thickBot="1" x14ac:dyDescent="0.25">
      <c r="A137" s="159"/>
      <c r="B137" s="145"/>
      <c r="C137" s="170"/>
      <c r="D137" s="168"/>
      <c r="E137" s="497"/>
      <c r="F137" s="497"/>
      <c r="G137" s="497"/>
      <c r="H137" s="497"/>
      <c r="I137" s="497"/>
      <c r="J137" s="497"/>
      <c r="K137" s="509"/>
      <c r="L137" s="498"/>
      <c r="M137" s="152"/>
      <c r="N137" s="543"/>
      <c r="O137" s="877"/>
      <c r="P137" s="877"/>
      <c r="Q137" s="895"/>
      <c r="W137" s="165"/>
      <c r="X137" s="165"/>
      <c r="Y137" s="165"/>
      <c r="Z137" s="165"/>
      <c r="AA137" s="165"/>
      <c r="AB137" s="165"/>
      <c r="AC137" s="165"/>
      <c r="AD137" s="145"/>
      <c r="AV137" s="145"/>
      <c r="AW137" s="145"/>
      <c r="AX137" s="145"/>
      <c r="AY137" s="145"/>
      <c r="AZ137" s="145"/>
      <c r="BA137" s="145"/>
      <c r="BB137" s="145"/>
      <c r="BC137" s="145"/>
      <c r="BD137" s="145"/>
      <c r="BE137" s="145"/>
      <c r="BF137" s="145"/>
    </row>
    <row r="138" spans="1:58" ht="33.950000000000003" customHeight="1" x14ac:dyDescent="0.2">
      <c r="A138" s="159"/>
      <c r="B138" s="1315" t="s">
        <v>562</v>
      </c>
      <c r="C138" s="983" t="s">
        <v>554</v>
      </c>
      <c r="D138" s="1279" t="s">
        <v>243</v>
      </c>
      <c r="E138" s="486">
        <v>16901291</v>
      </c>
      <c r="F138" s="486">
        <v>4.9800000000000004</v>
      </c>
      <c r="G138" s="486">
        <v>0.01</v>
      </c>
      <c r="H138" s="489">
        <v>-2E-3</v>
      </c>
      <c r="I138" s="489">
        <v>1E-3</v>
      </c>
      <c r="J138" s="566">
        <v>2</v>
      </c>
      <c r="K138" s="503">
        <v>43133</v>
      </c>
      <c r="L138" s="504" t="s">
        <v>284</v>
      </c>
      <c r="M138" s="152"/>
      <c r="N138" s="877"/>
      <c r="O138" s="877"/>
      <c r="P138" s="877"/>
      <c r="Q138" s="895"/>
      <c r="W138" s="165"/>
      <c r="X138" s="165"/>
      <c r="Y138" s="165"/>
      <c r="Z138" s="165"/>
      <c r="AA138" s="165"/>
      <c r="AB138" s="165"/>
      <c r="AC138" s="165"/>
      <c r="AD138" s="145"/>
      <c r="AV138" s="145"/>
      <c r="AW138" s="145"/>
      <c r="AX138" s="145"/>
      <c r="AY138" s="145"/>
      <c r="AZ138" s="145"/>
      <c r="BA138" s="145"/>
      <c r="BB138" s="145"/>
      <c r="BC138" s="145"/>
      <c r="BD138" s="145"/>
      <c r="BE138" s="145"/>
      <c r="BF138" s="145"/>
    </row>
    <row r="139" spans="1:58" ht="33.950000000000003" customHeight="1" x14ac:dyDescent="0.2">
      <c r="A139" s="159"/>
      <c r="B139" s="1316"/>
      <c r="C139" s="984" t="s">
        <v>555</v>
      </c>
      <c r="D139" s="1280"/>
      <c r="E139" s="327">
        <v>16901291</v>
      </c>
      <c r="F139" s="327">
        <v>21.49</v>
      </c>
      <c r="G139" s="327">
        <v>0.01</v>
      </c>
      <c r="H139" s="567">
        <v>-1E-3</v>
      </c>
      <c r="I139" s="567">
        <v>1E-3</v>
      </c>
      <c r="J139" s="568">
        <v>2</v>
      </c>
      <c r="K139" s="218">
        <v>43133</v>
      </c>
      <c r="L139" s="569" t="s">
        <v>284</v>
      </c>
      <c r="M139" s="152"/>
      <c r="N139" s="877"/>
      <c r="O139" s="451"/>
      <c r="P139" s="451"/>
      <c r="Q139" s="451"/>
      <c r="W139" s="165"/>
      <c r="X139" s="165"/>
      <c r="Y139" s="165"/>
      <c r="Z139" s="165"/>
      <c r="AA139" s="165"/>
      <c r="AB139" s="165"/>
      <c r="AC139" s="165"/>
      <c r="AD139" s="145"/>
      <c r="AV139" s="145"/>
      <c r="AW139" s="145"/>
      <c r="AX139" s="145"/>
      <c r="AY139" s="145"/>
      <c r="AZ139" s="145"/>
      <c r="BA139" s="145"/>
      <c r="BB139" s="145"/>
      <c r="BC139" s="145"/>
      <c r="BD139" s="145"/>
      <c r="BE139" s="145"/>
      <c r="BF139" s="145"/>
    </row>
    <row r="140" spans="1:58" ht="33.950000000000003" customHeight="1" x14ac:dyDescent="0.2">
      <c r="A140" s="159"/>
      <c r="B140" s="1316"/>
      <c r="C140" s="984" t="s">
        <v>556</v>
      </c>
      <c r="D140" s="1280"/>
      <c r="E140" s="327">
        <v>16901291</v>
      </c>
      <c r="F140" s="570">
        <v>50</v>
      </c>
      <c r="G140" s="327">
        <v>0.01</v>
      </c>
      <c r="H140" s="570">
        <v>0</v>
      </c>
      <c r="I140" s="567">
        <v>1E-3</v>
      </c>
      <c r="J140" s="568">
        <v>2</v>
      </c>
      <c r="K140" s="218">
        <v>43133</v>
      </c>
      <c r="L140" s="569" t="s">
        <v>284</v>
      </c>
      <c r="M140" s="152"/>
      <c r="N140" s="152"/>
      <c r="O140" s="1194"/>
      <c r="P140" s="1194"/>
      <c r="Q140" s="1194"/>
      <c r="W140" s="165"/>
      <c r="X140" s="165"/>
      <c r="Y140" s="165"/>
      <c r="Z140" s="165"/>
      <c r="AA140" s="165"/>
      <c r="AB140" s="165"/>
      <c r="AC140" s="165"/>
      <c r="AD140" s="145"/>
      <c r="AV140" s="145"/>
      <c r="AW140" s="145"/>
      <c r="AX140" s="145"/>
      <c r="AY140" s="145"/>
      <c r="AZ140" s="145"/>
      <c r="BA140" s="145"/>
      <c r="BB140" s="145"/>
      <c r="BC140" s="145"/>
      <c r="BD140" s="145"/>
      <c r="BE140" s="145"/>
      <c r="BF140" s="145"/>
    </row>
    <row r="141" spans="1:58" ht="33.950000000000003" customHeight="1" x14ac:dyDescent="0.2">
      <c r="A141" s="159"/>
      <c r="B141" s="1316"/>
      <c r="C141" s="984" t="s">
        <v>557</v>
      </c>
      <c r="D141" s="1280"/>
      <c r="E141" s="327">
        <v>16901291</v>
      </c>
      <c r="F141" s="327">
        <v>71.510000000000005</v>
      </c>
      <c r="G141" s="327">
        <v>0.01</v>
      </c>
      <c r="H141" s="567">
        <v>1E-3</v>
      </c>
      <c r="I141" s="567">
        <v>1E-3</v>
      </c>
      <c r="J141" s="568">
        <v>2</v>
      </c>
      <c r="K141" s="218">
        <v>43133</v>
      </c>
      <c r="L141" s="569" t="s">
        <v>284</v>
      </c>
      <c r="M141" s="152"/>
      <c r="N141" s="893"/>
      <c r="O141" s="893"/>
      <c r="P141" s="893"/>
      <c r="Q141" s="877"/>
      <c r="W141" s="165"/>
      <c r="X141" s="165"/>
      <c r="Y141" s="165"/>
      <c r="Z141" s="165"/>
      <c r="AA141" s="165"/>
      <c r="AB141" s="165"/>
      <c r="AC141" s="165"/>
      <c r="AD141" s="145"/>
      <c r="AV141" s="145"/>
      <c r="AW141" s="145"/>
      <c r="AX141" s="145"/>
      <c r="AY141" s="145"/>
      <c r="AZ141" s="145"/>
      <c r="BA141" s="145"/>
      <c r="BB141" s="145"/>
      <c r="BC141" s="145"/>
      <c r="BD141" s="145"/>
      <c r="BE141" s="145"/>
      <c r="BF141" s="145"/>
    </row>
    <row r="142" spans="1:58" ht="33.950000000000003" customHeight="1" x14ac:dyDescent="0.2">
      <c r="A142" s="159"/>
      <c r="B142" s="1316"/>
      <c r="C142" s="984" t="s">
        <v>558</v>
      </c>
      <c r="D142" s="1280"/>
      <c r="E142" s="327">
        <v>16901291</v>
      </c>
      <c r="F142" s="327">
        <v>100.01</v>
      </c>
      <c r="G142" s="327">
        <v>0.01</v>
      </c>
      <c r="H142" s="571">
        <v>8.0000000000000002E-3</v>
      </c>
      <c r="I142" s="567">
        <v>1E-3</v>
      </c>
      <c r="J142" s="568">
        <v>2</v>
      </c>
      <c r="K142" s="218">
        <v>43133</v>
      </c>
      <c r="L142" s="569" t="s">
        <v>284</v>
      </c>
      <c r="M142" s="152"/>
      <c r="N142" s="543"/>
      <c r="O142" s="877"/>
      <c r="P142" s="877"/>
      <c r="Q142" s="895"/>
      <c r="R142" s="165"/>
      <c r="W142" s="165"/>
      <c r="X142" s="165"/>
      <c r="Y142" s="165"/>
      <c r="Z142" s="165"/>
      <c r="AA142" s="165"/>
      <c r="AB142" s="165"/>
      <c r="AC142" s="165"/>
      <c r="AD142" s="145"/>
      <c r="AV142" s="145"/>
      <c r="AW142" s="145"/>
      <c r="AX142" s="145"/>
      <c r="AY142" s="145"/>
      <c r="AZ142" s="145"/>
      <c r="BA142" s="145"/>
      <c r="BB142" s="145"/>
      <c r="BC142" s="145"/>
      <c r="BD142" s="145"/>
      <c r="BE142" s="145"/>
      <c r="BF142" s="145"/>
    </row>
    <row r="143" spans="1:58" ht="33.950000000000003" customHeight="1" x14ac:dyDescent="0.2">
      <c r="A143" s="159"/>
      <c r="B143" s="1316"/>
      <c r="C143" s="984" t="s">
        <v>559</v>
      </c>
      <c r="D143" s="1280"/>
      <c r="E143" s="327">
        <v>16901291</v>
      </c>
      <c r="F143" s="570">
        <v>150</v>
      </c>
      <c r="G143" s="327">
        <v>0.01</v>
      </c>
      <c r="H143" s="570">
        <v>0</v>
      </c>
      <c r="I143" s="567">
        <v>1E-3</v>
      </c>
      <c r="J143" s="568">
        <v>2</v>
      </c>
      <c r="K143" s="218">
        <v>43133</v>
      </c>
      <c r="L143" s="569" t="s">
        <v>284</v>
      </c>
      <c r="M143" s="152"/>
      <c r="N143" s="543"/>
      <c r="O143" s="877"/>
      <c r="P143" s="877"/>
      <c r="Q143" s="895"/>
      <c r="R143" s="165"/>
      <c r="S143" s="165"/>
      <c r="T143" s="165"/>
      <c r="U143" s="165"/>
      <c r="V143" s="165"/>
      <c r="W143" s="165"/>
      <c r="X143" s="165"/>
      <c r="Y143" s="165"/>
      <c r="Z143" s="165"/>
      <c r="AA143" s="165"/>
      <c r="AB143" s="165"/>
      <c r="AC143" s="165"/>
      <c r="AD143" s="145"/>
      <c r="AV143" s="145"/>
      <c r="AW143" s="145"/>
      <c r="AX143" s="145"/>
      <c r="AY143" s="145"/>
      <c r="AZ143" s="145"/>
      <c r="BA143" s="145"/>
      <c r="BB143" s="145"/>
      <c r="BC143" s="145"/>
      <c r="BD143" s="145"/>
      <c r="BE143" s="145"/>
      <c r="BF143" s="145"/>
    </row>
    <row r="144" spans="1:58" ht="33.950000000000003" customHeight="1" thickBot="1" x14ac:dyDescent="0.25">
      <c r="A144" s="159"/>
      <c r="B144" s="1317"/>
      <c r="C144" s="988" t="s">
        <v>560</v>
      </c>
      <c r="D144" s="1281"/>
      <c r="E144" s="220">
        <v>16901291</v>
      </c>
      <c r="F144" s="492">
        <v>200</v>
      </c>
      <c r="G144" s="220">
        <v>0.01</v>
      </c>
      <c r="H144" s="492">
        <v>0</v>
      </c>
      <c r="I144" s="493">
        <v>1E-3</v>
      </c>
      <c r="J144" s="491">
        <v>2</v>
      </c>
      <c r="K144" s="222">
        <v>43133</v>
      </c>
      <c r="L144" s="507" t="s">
        <v>284</v>
      </c>
      <c r="M144" s="152"/>
      <c r="N144" s="877"/>
      <c r="O144" s="877"/>
      <c r="P144" s="877"/>
      <c r="Q144" s="895"/>
      <c r="R144" s="165"/>
      <c r="S144" s="165"/>
      <c r="T144" s="165"/>
      <c r="U144" s="165"/>
      <c r="V144" s="165"/>
      <c r="W144" s="165"/>
      <c r="X144" s="165"/>
      <c r="Y144" s="165"/>
      <c r="Z144" s="165"/>
      <c r="AA144" s="165"/>
      <c r="AB144" s="165"/>
      <c r="AC144" s="165"/>
      <c r="AD144" s="145"/>
      <c r="AH144" s="145"/>
      <c r="AI144" s="170"/>
      <c r="AJ144" s="170"/>
      <c r="AK144" s="170"/>
      <c r="AL144" s="170"/>
      <c r="AM144" s="170"/>
      <c r="AN144" s="170"/>
      <c r="AO144" s="170"/>
      <c r="AP144" s="170"/>
      <c r="AQ144" s="522"/>
      <c r="AR144" s="170"/>
      <c r="AS144" s="170"/>
      <c r="AV144" s="145"/>
      <c r="AW144" s="145"/>
      <c r="AX144" s="145"/>
      <c r="AY144" s="145"/>
      <c r="AZ144" s="145"/>
      <c r="BA144" s="145"/>
      <c r="BB144" s="145"/>
      <c r="BC144" s="145"/>
      <c r="BD144" s="145"/>
      <c r="BE144" s="145"/>
      <c r="BF144" s="145"/>
    </row>
    <row r="145" spans="1:58" ht="35.1" customHeight="1" thickBot="1" x14ac:dyDescent="0.25">
      <c r="A145" s="159"/>
      <c r="B145" s="145"/>
      <c r="C145" s="560"/>
      <c r="D145" s="171"/>
      <c r="E145" s="572"/>
      <c r="F145" s="542"/>
      <c r="G145" s="542"/>
      <c r="H145" s="573"/>
      <c r="I145" s="542"/>
      <c r="J145" s="542"/>
      <c r="K145" s="574"/>
      <c r="L145" s="575"/>
      <c r="N145" s="877"/>
      <c r="O145" s="451"/>
      <c r="P145" s="451"/>
      <c r="Q145" s="451"/>
      <c r="X145" s="170"/>
      <c r="Y145" s="170"/>
      <c r="Z145" s="170"/>
      <c r="AA145" s="170"/>
      <c r="AB145" s="170"/>
      <c r="AC145" s="145"/>
      <c r="AD145" s="145"/>
      <c r="AH145" s="145"/>
      <c r="AI145" s="145"/>
      <c r="AJ145" s="145"/>
      <c r="AK145" s="145"/>
      <c r="AL145" s="145"/>
      <c r="AM145" s="145"/>
      <c r="AN145" s="145"/>
      <c r="AO145" s="145"/>
      <c r="AP145" s="145"/>
      <c r="AQ145" s="160"/>
      <c r="AR145" s="145"/>
      <c r="AS145" s="170"/>
      <c r="AV145" s="145"/>
      <c r="AW145" s="145"/>
      <c r="AX145" s="145"/>
      <c r="AY145" s="145"/>
      <c r="AZ145" s="145"/>
      <c r="BA145" s="145"/>
      <c r="BB145" s="145"/>
      <c r="BC145" s="145"/>
      <c r="BD145" s="145"/>
      <c r="BE145" s="145"/>
      <c r="BF145" s="145"/>
    </row>
    <row r="146" spans="1:58" ht="33.950000000000003" customHeight="1" x14ac:dyDescent="0.2">
      <c r="A146" s="159"/>
      <c r="B146" s="1315" t="s">
        <v>561</v>
      </c>
      <c r="C146" s="983" t="s">
        <v>554</v>
      </c>
      <c r="D146" s="1279" t="s">
        <v>243</v>
      </c>
      <c r="E146" s="486">
        <v>16901291</v>
      </c>
      <c r="F146" s="487">
        <v>5</v>
      </c>
      <c r="G146" s="486">
        <v>0.01</v>
      </c>
      <c r="H146" s="487">
        <v>0</v>
      </c>
      <c r="I146" s="489">
        <v>1E-3</v>
      </c>
      <c r="J146" s="566">
        <v>2</v>
      </c>
      <c r="K146" s="503">
        <v>43133</v>
      </c>
      <c r="L146" s="504" t="s">
        <v>284</v>
      </c>
      <c r="M146" s="152"/>
      <c r="N146" s="152"/>
      <c r="O146" s="1194"/>
      <c r="P146" s="1194"/>
      <c r="Q146" s="1194"/>
      <c r="Z146" s="145"/>
      <c r="AA146" s="145"/>
      <c r="AB146" s="145"/>
      <c r="AC146" s="145"/>
      <c r="AD146" s="145"/>
      <c r="AH146" s="145"/>
      <c r="AI146" s="145"/>
      <c r="AJ146" s="145"/>
      <c r="AK146" s="145"/>
      <c r="AL146" s="145"/>
      <c r="AM146" s="145"/>
      <c r="AN146" s="145"/>
      <c r="AO146" s="145"/>
      <c r="AP146" s="145"/>
      <c r="AQ146" s="160"/>
      <c r="AR146" s="145"/>
      <c r="AS146" s="170"/>
      <c r="AV146" s="145"/>
      <c r="AW146" s="145"/>
      <c r="AX146" s="145"/>
      <c r="AY146" s="145"/>
      <c r="AZ146" s="145"/>
      <c r="BA146" s="145"/>
      <c r="BB146" s="145"/>
      <c r="BC146" s="145"/>
      <c r="BD146" s="145"/>
      <c r="BE146" s="145"/>
      <c r="BF146" s="145"/>
    </row>
    <row r="147" spans="1:58" ht="33.950000000000003" customHeight="1" x14ac:dyDescent="0.2">
      <c r="A147" s="159"/>
      <c r="B147" s="1316"/>
      <c r="C147" s="984" t="s">
        <v>555</v>
      </c>
      <c r="D147" s="1280"/>
      <c r="E147" s="327">
        <v>16901291</v>
      </c>
      <c r="F147" s="570">
        <v>21.51</v>
      </c>
      <c r="G147" s="327">
        <v>0.01</v>
      </c>
      <c r="H147" s="567">
        <v>1E-3</v>
      </c>
      <c r="I147" s="567">
        <v>1E-3</v>
      </c>
      <c r="J147" s="568">
        <v>2</v>
      </c>
      <c r="K147" s="218">
        <v>43133</v>
      </c>
      <c r="L147" s="569" t="s">
        <v>284</v>
      </c>
      <c r="M147" s="152"/>
      <c r="N147" s="893"/>
      <c r="O147" s="893"/>
      <c r="P147" s="893"/>
      <c r="Q147" s="877"/>
      <c r="W147" s="145"/>
      <c r="X147" s="145"/>
      <c r="Y147" s="145"/>
      <c r="Z147" s="145"/>
      <c r="AA147" s="145"/>
      <c r="AB147" s="145"/>
      <c r="AC147" s="145"/>
      <c r="AD147" s="145"/>
      <c r="BD147" s="145"/>
      <c r="BE147" s="145"/>
      <c r="BF147" s="145"/>
    </row>
    <row r="148" spans="1:58" ht="33.950000000000003" customHeight="1" x14ac:dyDescent="0.2">
      <c r="A148" s="159"/>
      <c r="B148" s="1316"/>
      <c r="C148" s="984" t="s">
        <v>556</v>
      </c>
      <c r="D148" s="1280"/>
      <c r="E148" s="327">
        <v>16901291</v>
      </c>
      <c r="F148" s="570">
        <v>50.01</v>
      </c>
      <c r="G148" s="327">
        <v>0.01</v>
      </c>
      <c r="H148" s="567">
        <v>1E-3</v>
      </c>
      <c r="I148" s="567">
        <v>1E-3</v>
      </c>
      <c r="J148" s="568">
        <v>2</v>
      </c>
      <c r="K148" s="218">
        <v>43133</v>
      </c>
      <c r="L148" s="569" t="s">
        <v>284</v>
      </c>
      <c r="M148" s="152"/>
      <c r="N148" s="543"/>
      <c r="O148" s="877"/>
      <c r="P148" s="877"/>
      <c r="Q148" s="895"/>
      <c r="W148" s="148"/>
      <c r="X148" s="148"/>
      <c r="Y148" s="148"/>
      <c r="Z148" s="148"/>
      <c r="AA148" s="148"/>
      <c r="AB148" s="148"/>
      <c r="AV148" s="145"/>
      <c r="AW148" s="145"/>
      <c r="AX148" s="145"/>
      <c r="AY148" s="145"/>
      <c r="AZ148" s="145"/>
      <c r="BA148" s="145"/>
      <c r="BB148" s="145"/>
      <c r="BC148" s="145"/>
      <c r="BD148" s="145"/>
      <c r="BE148" s="145"/>
      <c r="BF148" s="145"/>
    </row>
    <row r="149" spans="1:58" ht="33.950000000000003" customHeight="1" x14ac:dyDescent="0.2">
      <c r="A149" s="159"/>
      <c r="B149" s="1316"/>
      <c r="C149" s="984" t="s">
        <v>557</v>
      </c>
      <c r="D149" s="1280"/>
      <c r="E149" s="327">
        <v>16901291</v>
      </c>
      <c r="F149" s="570">
        <v>71.510000000000005</v>
      </c>
      <c r="G149" s="327">
        <v>0.01</v>
      </c>
      <c r="H149" s="567">
        <v>1E-3</v>
      </c>
      <c r="I149" s="567">
        <v>1E-3</v>
      </c>
      <c r="J149" s="568">
        <v>2</v>
      </c>
      <c r="K149" s="218">
        <v>43133</v>
      </c>
      <c r="L149" s="569" t="s">
        <v>284</v>
      </c>
      <c r="M149" s="152"/>
      <c r="N149" s="543"/>
      <c r="O149" s="877"/>
      <c r="P149" s="877"/>
      <c r="Q149" s="895"/>
      <c r="W149" s="148"/>
      <c r="X149" s="148"/>
      <c r="Y149" s="148"/>
      <c r="Z149" s="148"/>
      <c r="AA149" s="148"/>
      <c r="AB149" s="148"/>
      <c r="AV149" s="145"/>
      <c r="AW149" s="145"/>
      <c r="AX149" s="145"/>
      <c r="AY149" s="145"/>
      <c r="AZ149" s="145"/>
      <c r="BA149" s="145"/>
      <c r="BB149" s="145"/>
      <c r="BC149" s="145"/>
      <c r="BD149" s="145"/>
      <c r="BE149" s="145"/>
      <c r="BF149" s="145"/>
    </row>
    <row r="150" spans="1:58" ht="33.950000000000003" customHeight="1" x14ac:dyDescent="0.2">
      <c r="A150" s="159"/>
      <c r="B150" s="1316"/>
      <c r="C150" s="984" t="s">
        <v>558</v>
      </c>
      <c r="D150" s="1280"/>
      <c r="E150" s="327">
        <v>16901291</v>
      </c>
      <c r="F150" s="570">
        <v>100.01</v>
      </c>
      <c r="G150" s="327">
        <v>0.01</v>
      </c>
      <c r="H150" s="567">
        <v>1E-3</v>
      </c>
      <c r="I150" s="567">
        <v>1E-3</v>
      </c>
      <c r="J150" s="568">
        <v>2</v>
      </c>
      <c r="K150" s="218">
        <v>43133</v>
      </c>
      <c r="L150" s="569" t="s">
        <v>284</v>
      </c>
      <c r="M150" s="152"/>
      <c r="N150" s="877"/>
      <c r="O150" s="877"/>
      <c r="P150" s="877"/>
      <c r="Q150" s="895"/>
    </row>
    <row r="151" spans="1:58" ht="33.950000000000003" customHeight="1" x14ac:dyDescent="0.2">
      <c r="A151" s="159"/>
      <c r="B151" s="1316"/>
      <c r="C151" s="984" t="s">
        <v>559</v>
      </c>
      <c r="D151" s="1280"/>
      <c r="E151" s="327">
        <v>16901291</v>
      </c>
      <c r="F151" s="570">
        <v>150.01</v>
      </c>
      <c r="G151" s="327">
        <v>0.01</v>
      </c>
      <c r="H151" s="567">
        <v>1E-3</v>
      </c>
      <c r="I151" s="567">
        <v>1E-3</v>
      </c>
      <c r="J151" s="568">
        <v>2</v>
      </c>
      <c r="K151" s="218">
        <v>43133</v>
      </c>
      <c r="L151" s="569" t="s">
        <v>284</v>
      </c>
      <c r="M151" s="152"/>
      <c r="N151" s="877"/>
      <c r="O151" s="451"/>
      <c r="P151" s="955"/>
      <c r="Q151" s="451"/>
    </row>
    <row r="152" spans="1:58" ht="33.950000000000003" customHeight="1" thickBot="1" x14ac:dyDescent="0.25">
      <c r="A152" s="159"/>
      <c r="B152" s="1317"/>
      <c r="C152" s="988" t="s">
        <v>563</v>
      </c>
      <c r="D152" s="1281"/>
      <c r="E152" s="220">
        <v>16901291</v>
      </c>
      <c r="F152" s="492">
        <v>200</v>
      </c>
      <c r="G152" s="220">
        <v>0.01</v>
      </c>
      <c r="H152" s="493">
        <v>0</v>
      </c>
      <c r="I152" s="493">
        <v>1E-3</v>
      </c>
      <c r="J152" s="491">
        <v>2</v>
      </c>
      <c r="K152" s="222">
        <v>43133</v>
      </c>
      <c r="L152" s="507" t="s">
        <v>284</v>
      </c>
      <c r="M152" s="152"/>
      <c r="N152" s="152"/>
      <c r="O152" s="1194"/>
      <c r="P152" s="1194"/>
      <c r="Q152" s="1194"/>
    </row>
    <row r="153" spans="1:58" ht="35.1" customHeight="1" x14ac:dyDescent="0.2">
      <c r="A153" s="159"/>
      <c r="B153" s="145"/>
      <c r="C153" s="145"/>
      <c r="D153" s="170"/>
      <c r="E153" s="145"/>
      <c r="F153" s="145"/>
      <c r="G153" s="145"/>
      <c r="H153" s="145"/>
      <c r="I153" s="145"/>
      <c r="J153" s="145"/>
      <c r="K153" s="160"/>
      <c r="L153" s="145"/>
      <c r="M153" s="152"/>
      <c r="N153" s="893"/>
      <c r="O153" s="893"/>
      <c r="P153" s="893"/>
      <c r="Q153" s="877"/>
    </row>
    <row r="154" spans="1:58" ht="35.1" customHeight="1" thickBot="1" x14ac:dyDescent="0.25">
      <c r="A154" s="159"/>
      <c r="B154" s="145"/>
      <c r="C154" s="145"/>
      <c r="D154" s="170"/>
      <c r="E154" s="145"/>
      <c r="F154" s="145"/>
      <c r="G154" s="145"/>
      <c r="H154" s="145"/>
      <c r="I154" s="145"/>
      <c r="J154" s="145"/>
      <c r="K154" s="160"/>
      <c r="L154" s="145"/>
      <c r="M154" s="152"/>
      <c r="N154" s="543"/>
      <c r="O154" s="877"/>
      <c r="P154" s="877"/>
      <c r="Q154" s="895"/>
    </row>
    <row r="155" spans="1:58" ht="35.1" customHeight="1" thickBot="1" x14ac:dyDescent="0.25">
      <c r="A155" s="159"/>
      <c r="B155" s="1206" t="s">
        <v>175</v>
      </c>
      <c r="C155" s="1207"/>
      <c r="D155" s="1207"/>
      <c r="E155" s="1207"/>
      <c r="F155" s="1207"/>
      <c r="G155" s="1207"/>
      <c r="H155" s="1207"/>
      <c r="I155" s="1207"/>
      <c r="J155" s="1207"/>
      <c r="K155" s="1207"/>
      <c r="L155" s="1318"/>
      <c r="M155" s="152"/>
      <c r="N155" s="543"/>
      <c r="O155" s="877"/>
      <c r="P155" s="877"/>
      <c r="Q155" s="895"/>
    </row>
    <row r="156" spans="1:58" ht="60" customHeight="1" thickBot="1" x14ac:dyDescent="0.25">
      <c r="A156" s="159"/>
      <c r="B156" s="1210" t="s">
        <v>173</v>
      </c>
      <c r="C156" s="145"/>
      <c r="D156" s="523" t="s">
        <v>37</v>
      </c>
      <c r="E156" s="524" t="s">
        <v>235</v>
      </c>
      <c r="F156" s="523" t="s">
        <v>234</v>
      </c>
      <c r="G156" s="523" t="s">
        <v>161</v>
      </c>
      <c r="H156" s="523" t="s">
        <v>206</v>
      </c>
      <c r="I156" s="523" t="s">
        <v>159</v>
      </c>
      <c r="J156" s="523" t="s">
        <v>207</v>
      </c>
      <c r="K156" s="525" t="s">
        <v>160</v>
      </c>
      <c r="L156" s="526" t="s">
        <v>383</v>
      </c>
      <c r="M156" s="152"/>
      <c r="N156" s="877"/>
      <c r="O156" s="877"/>
      <c r="P156" s="877"/>
      <c r="Q156" s="895"/>
    </row>
    <row r="157" spans="1:58" ht="35.1" customHeight="1" x14ac:dyDescent="0.25">
      <c r="A157" s="159"/>
      <c r="B157" s="1313"/>
      <c r="C157" s="172"/>
      <c r="D157" s="142"/>
      <c r="E157" s="576"/>
      <c r="F157" s="576"/>
      <c r="G157" s="576"/>
      <c r="H157" s="576"/>
      <c r="I157" s="576"/>
      <c r="J157" s="576"/>
      <c r="K157" s="577"/>
      <c r="L157" s="578"/>
      <c r="M157" s="152"/>
      <c r="N157" s="877"/>
      <c r="O157" s="451"/>
      <c r="P157" s="451"/>
      <c r="Q157" s="451"/>
    </row>
    <row r="158" spans="1:58" ht="35.1" customHeight="1" thickBot="1" x14ac:dyDescent="0.25">
      <c r="A158" s="159"/>
      <c r="B158" s="1314"/>
      <c r="C158" s="227" t="s">
        <v>245</v>
      </c>
      <c r="D158" s="224" t="s">
        <v>243</v>
      </c>
      <c r="E158" s="579">
        <v>63091842</v>
      </c>
      <c r="F158" s="580">
        <v>25</v>
      </c>
      <c r="G158" s="580">
        <v>1.2999999999999999E-3</v>
      </c>
      <c r="H158" s="580">
        <v>0</v>
      </c>
      <c r="I158" s="580">
        <v>8.9999999999999993E-3</v>
      </c>
      <c r="J158" s="579">
        <v>2</v>
      </c>
      <c r="K158" s="581">
        <v>43132</v>
      </c>
      <c r="L158" s="582" t="s">
        <v>285</v>
      </c>
      <c r="M158" s="166"/>
    </row>
    <row r="160" spans="1:58" ht="35.1" customHeight="1" thickBot="1" x14ac:dyDescent="0.25">
      <c r="B160" s="583"/>
      <c r="C160" s="584"/>
      <c r="D160" s="174"/>
      <c r="E160" s="537"/>
      <c r="F160" s="537"/>
      <c r="G160" s="537"/>
      <c r="H160" s="537"/>
      <c r="I160" s="537"/>
      <c r="J160" s="537"/>
      <c r="K160" s="585"/>
      <c r="L160" s="586"/>
      <c r="M160" s="167"/>
    </row>
    <row r="161" spans="2:15" ht="51.75" customHeight="1" thickBot="1" x14ac:dyDescent="0.25">
      <c r="B161" s="229" t="s">
        <v>295</v>
      </c>
      <c r="C161" s="230" t="str">
        <f>D111</f>
        <v>Fabricante</v>
      </c>
      <c r="D161" s="231" t="str">
        <f>E36</f>
        <v>Identificación / Serie</v>
      </c>
      <c r="E161" s="231" t="str">
        <f>S54</f>
        <v>Fecha de Calibración</v>
      </c>
      <c r="F161" s="231" t="str">
        <f>T54</f>
        <v>Trazabilidad y numero</v>
      </c>
      <c r="G161" s="231" t="s">
        <v>3</v>
      </c>
      <c r="H161" s="231" t="s">
        <v>539</v>
      </c>
      <c r="I161" s="231" t="s">
        <v>16</v>
      </c>
      <c r="J161" s="231" t="s">
        <v>490</v>
      </c>
      <c r="K161" s="231" t="s">
        <v>491</v>
      </c>
      <c r="L161" s="231" t="s">
        <v>566</v>
      </c>
      <c r="M161" s="231" t="s">
        <v>565</v>
      </c>
      <c r="N161" s="231" t="s">
        <v>492</v>
      </c>
      <c r="O161" s="232" t="s">
        <v>493</v>
      </c>
    </row>
    <row r="162" spans="2:15" ht="35.1" customHeight="1" thickBot="1" x14ac:dyDescent="0.25">
      <c r="B162" s="195"/>
      <c r="C162" s="196"/>
      <c r="D162" s="196"/>
      <c r="E162" s="196"/>
      <c r="F162" s="196"/>
      <c r="G162" s="196"/>
      <c r="H162" s="196"/>
      <c r="I162" s="196"/>
      <c r="J162" s="196"/>
      <c r="K162" s="196"/>
      <c r="L162" s="196"/>
      <c r="M162" s="196"/>
      <c r="N162" s="196"/>
      <c r="O162" s="194"/>
    </row>
    <row r="163" spans="2:15" ht="45.95" customHeight="1" x14ac:dyDescent="0.2">
      <c r="B163" s="1159" t="str">
        <f>O58</f>
        <v>V-002</v>
      </c>
      <c r="C163" s="486" t="str">
        <f>D56</f>
        <v>Lufft Opus 20</v>
      </c>
      <c r="D163" s="1160" t="str">
        <f>E56</f>
        <v>0,23.0714.0802.024 C-I V-002</v>
      </c>
      <c r="E163" s="987" t="str">
        <f>S57</f>
        <v>21/05/2019 / - 23/05/2019 -    15/05/2019</v>
      </c>
      <c r="F163" s="486" t="str">
        <f>T57</f>
        <v>INM  3998- 4006-2313</v>
      </c>
      <c r="G163" s="486">
        <f>P58</f>
        <v>0.3</v>
      </c>
      <c r="H163" s="486">
        <f>Q58</f>
        <v>1.7</v>
      </c>
      <c r="I163" s="487">
        <f>R58</f>
        <v>0.31</v>
      </c>
      <c r="J163" s="1161">
        <f>SLOPE(H56:H58,F56:F58)</f>
        <v>7.6498785212423676E-3</v>
      </c>
      <c r="K163" s="489">
        <f>INTERCEPT(H56:H58,F56:F58)</f>
        <v>-0.21055551907544817</v>
      </c>
      <c r="L163" s="489">
        <f>SLOPE(H59:H61,F59:F61)</f>
        <v>0.13760217983651227</v>
      </c>
      <c r="M163" s="489">
        <f>INTERCEPT(H59:H61,F59:F61)</f>
        <v>-7.9455040871934619</v>
      </c>
      <c r="N163" s="489">
        <f>SLOPE(H62:H64,F62:F64)</f>
        <v>1.5801362733735406E-3</v>
      </c>
      <c r="O163" s="1162">
        <f>INTERCEPT(H62:H64,F62:F64)</f>
        <v>-2.0852978673143219</v>
      </c>
    </row>
    <row r="164" spans="2:15" ht="45.95" customHeight="1" x14ac:dyDescent="0.2">
      <c r="B164" s="1163" t="str">
        <f>O90</f>
        <v>M-010</v>
      </c>
      <c r="C164" s="327" t="str">
        <f>D89</f>
        <v>Lufft Opus 20</v>
      </c>
      <c r="D164" s="1164" t="str">
        <f>E89</f>
        <v>0,26.0714.0802.024 C-I M-010</v>
      </c>
      <c r="E164" s="985" t="str">
        <f>S89</f>
        <v>14/05/2019- 15/05/2019    15/05/2019</v>
      </c>
      <c r="F164" s="327" t="str">
        <f>T89</f>
        <v>INM 3985 - INM 3987 -   INM 2314</v>
      </c>
      <c r="G164" s="568">
        <f>P90</f>
        <v>0.3</v>
      </c>
      <c r="H164" s="568">
        <f>Q90</f>
        <v>1.7</v>
      </c>
      <c r="I164" s="570">
        <f>R90</f>
        <v>0.34</v>
      </c>
      <c r="J164" s="1165">
        <f>SLOPE(H89:H91,F89:F91)</f>
        <v>3.6000822875951452E-2</v>
      </c>
      <c r="K164" s="1165">
        <f>INTERCEPT(H89:H91,F89:F91)</f>
        <v>-0.76495234176781179</v>
      </c>
      <c r="L164" s="1165">
        <f>SLOPE(H92:H94,F92:F94)</f>
        <v>0.14610357623723358</v>
      </c>
      <c r="M164" s="1165">
        <f>INTERCEPT(H92:H94,F92:F94)</f>
        <v>-8.5658927457226355</v>
      </c>
      <c r="N164" s="1165">
        <f>SLOPE(H95:H97,F95:F97)</f>
        <v>1.1102903418968183E-3</v>
      </c>
      <c r="O164" s="1166">
        <f>INTERCEPT(H95:H97,F95:F97)</f>
        <v>-1.6983583226282657</v>
      </c>
    </row>
    <row r="165" spans="2:15" ht="45.95" customHeight="1" x14ac:dyDescent="0.2">
      <c r="B165" s="1163" t="str">
        <f>O101</f>
        <v>M-011</v>
      </c>
      <c r="C165" s="327" t="str">
        <f>D100</f>
        <v>Lufft Opus 20</v>
      </c>
      <c r="D165" s="1164" t="str">
        <f>E100</f>
        <v>0,22.0714.0802.024</v>
      </c>
      <c r="E165" s="985" t="str">
        <f>S100</f>
        <v>14/05/2019 -/  15/05/2019 -   15/05/2019</v>
      </c>
      <c r="F165" s="327" t="str">
        <f>T100</f>
        <v>INM-3986-INM 3988-INM 2315</v>
      </c>
      <c r="G165" s="570">
        <f>P101</f>
        <v>0.3</v>
      </c>
      <c r="H165" s="570">
        <f>Q101</f>
        <v>1.7</v>
      </c>
      <c r="I165" s="570">
        <f>R101</f>
        <v>0.11</v>
      </c>
      <c r="J165" s="1165">
        <f>SLOPE(H100:H102,F100:F102)</f>
        <v>1.3789480596230877E-2</v>
      </c>
      <c r="K165" s="1165">
        <f>INTERCEPT(H100:H102,F100:F102)</f>
        <v>-0.31945630047934864</v>
      </c>
      <c r="L165" s="1165">
        <f>SLOPE(H103:H105,F103:F105)</f>
        <v>0.15265797836413364</v>
      </c>
      <c r="M165" s="1165">
        <f>INTERCEPT(H103:H105,F103:F105)</f>
        <v>-8.8239788291829537</v>
      </c>
      <c r="N165" s="1165">
        <f>SLOPE(H106:H108,F106:F108)</f>
        <v>2.5813149339457058E-3</v>
      </c>
      <c r="O165" s="1166">
        <f>INTERCEPT(H106:H108,F106:F108)</f>
        <v>-2.8012761658278418</v>
      </c>
    </row>
    <row r="166" spans="2:15" ht="45.95" customHeight="1" x14ac:dyDescent="0.2">
      <c r="B166" s="1163" t="str">
        <f>O68</f>
        <v xml:space="preserve">M-012  </v>
      </c>
      <c r="C166" s="327" t="str">
        <f>D67</f>
        <v>Lufft Opus 20</v>
      </c>
      <c r="D166" s="1164" t="str">
        <f>E67</f>
        <v>19506160802033 C-I M-012</v>
      </c>
      <c r="E166" s="985" t="str">
        <f>S67</f>
        <v>21/05/2019 /- 23/05/2019 -/  02/05/2019</v>
      </c>
      <c r="F166" s="327" t="str">
        <f>T67</f>
        <v>INM-3997, INM 4005 - INM 2316</v>
      </c>
      <c r="G166" s="570">
        <f>P68</f>
        <v>0.4</v>
      </c>
      <c r="H166" s="570">
        <f>Q68</f>
        <v>1.7</v>
      </c>
      <c r="I166" s="570">
        <f>R68</f>
        <v>0.56999999999999995</v>
      </c>
      <c r="J166" s="1165">
        <f>SLOPE(H67:H69,F67:F69)</f>
        <v>2.7153152443586816E-2</v>
      </c>
      <c r="K166" s="1165">
        <f>INTERCEPT(H67:H69,F67:F69)</f>
        <v>-0.60311109360847481</v>
      </c>
      <c r="L166" s="1165">
        <f>SLOPE(H70:H72,F70:F72)</f>
        <v>0.12702668198646755</v>
      </c>
      <c r="M166" s="1165">
        <f>INTERCEPT(H70:H72,F70:F72)</f>
        <v>-6.9481807736499448</v>
      </c>
      <c r="N166" s="1165">
        <f>SLOPE(H73:H75,F73:F75)</f>
        <v>1.9899325989336312E-3</v>
      </c>
      <c r="O166" s="1166">
        <f>INTERCEPT(H73:H75,F73:F75)</f>
        <v>-2.4093630913706812</v>
      </c>
    </row>
    <row r="167" spans="2:15" ht="45.95" customHeight="1" thickBot="1" x14ac:dyDescent="0.25">
      <c r="B167" s="1167" t="str">
        <f>O79</f>
        <v xml:space="preserve">M-013  </v>
      </c>
      <c r="C167" s="220" t="str">
        <f>D78</f>
        <v>Lufft Opus 20</v>
      </c>
      <c r="D167" s="1168" t="str">
        <f>E78</f>
        <v>19406160802033 C-I M-013</v>
      </c>
      <c r="E167" s="989" t="str">
        <f>S78</f>
        <v>2019-09-24 - / 2019-09-25 -    2019-08-25</v>
      </c>
      <c r="F167" s="220" t="str">
        <f>T78</f>
        <v>INM 4216 - INM 4217 -  INM 2346</v>
      </c>
      <c r="G167" s="492">
        <f>P79</f>
        <v>0.3</v>
      </c>
      <c r="H167" s="492">
        <f>Q79</f>
        <v>1.7</v>
      </c>
      <c r="I167" s="492">
        <f>R79</f>
        <v>0.28999999999999998</v>
      </c>
      <c r="J167" s="1169">
        <f>SLOPE(H78:H80,F78:F80)</f>
        <v>1.3499905595065769E-2</v>
      </c>
      <c r="K167" s="1169">
        <f>INTERCEPT(H78:H80,F78:F80)</f>
        <v>-0.31364780665869468</v>
      </c>
      <c r="L167" s="1169">
        <f>SLOPE(H81:H83,F81:F83)</f>
        <v>0.101903287496585</v>
      </c>
      <c r="M167" s="1169">
        <f>INTERCEPT(H81:H83,F81:F83)</f>
        <v>-5.6461160185775423</v>
      </c>
      <c r="N167" s="1169">
        <f>SLOPE(H84:H86,F84:F86)</f>
        <v>1.1125130090065254E-3</v>
      </c>
      <c r="O167" s="1170">
        <f>INTERCEPT(H84:H86,F84:F86)</f>
        <v>-1.8509982843560584</v>
      </c>
    </row>
    <row r="229" spans="74:77" ht="35.1" customHeight="1" x14ac:dyDescent="0.25">
      <c r="BV229" s="151"/>
      <c r="BW229" s="151"/>
      <c r="BX229" s="151"/>
      <c r="BY229" s="151"/>
    </row>
    <row r="230" spans="74:77" ht="35.1" customHeight="1" x14ac:dyDescent="0.25">
      <c r="BV230" s="151"/>
      <c r="BW230" s="151"/>
      <c r="BX230" s="151"/>
      <c r="BY230" s="151"/>
    </row>
    <row r="231" spans="74:77" ht="35.1" customHeight="1" x14ac:dyDescent="0.25">
      <c r="BV231" s="151"/>
      <c r="BW231" s="151"/>
      <c r="BX231" s="151"/>
      <c r="BY231" s="151"/>
    </row>
    <row r="232" spans="74:77" ht="35.1" customHeight="1" x14ac:dyDescent="0.25">
      <c r="BV232" s="151"/>
      <c r="BW232" s="151"/>
      <c r="BX232" s="151"/>
      <c r="BY232" s="151"/>
    </row>
  </sheetData>
  <sheetProtection password="CF5C" sheet="1" objects="1" scenarios="1"/>
  <dataConsolidate/>
  <mergeCells count="141">
    <mergeCell ref="A100:B102"/>
    <mergeCell ref="L38:L42"/>
    <mergeCell ref="B29:B32"/>
    <mergeCell ref="B38:B42"/>
    <mergeCell ref="D38:D42"/>
    <mergeCell ref="S32:V32"/>
    <mergeCell ref="E1:V1"/>
    <mergeCell ref="T28:V28"/>
    <mergeCell ref="V30:V31"/>
    <mergeCell ref="S30:S31"/>
    <mergeCell ref="T30:T31"/>
    <mergeCell ref="Q8:U8"/>
    <mergeCell ref="S9:U9"/>
    <mergeCell ref="P7:U7"/>
    <mergeCell ref="Q9:R9"/>
    <mergeCell ref="T14:V14"/>
    <mergeCell ref="D5:N5"/>
    <mergeCell ref="B11:N12"/>
    <mergeCell ref="B28:O28"/>
    <mergeCell ref="B21:O21"/>
    <mergeCell ref="B35:R35"/>
    <mergeCell ref="S54:S55"/>
    <mergeCell ref="O79:O80"/>
    <mergeCell ref="D44:D48"/>
    <mergeCell ref="B156:B158"/>
    <mergeCell ref="B146:B152"/>
    <mergeCell ref="B138:B144"/>
    <mergeCell ref="B135:L135"/>
    <mergeCell ref="B129:L129"/>
    <mergeCell ref="B155:L155"/>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92:L94"/>
    <mergeCell ref="C89:C97"/>
    <mergeCell ref="A78:B80"/>
    <mergeCell ref="K81:K83"/>
    <mergeCell ref="L81:L83"/>
    <mergeCell ref="A62:B64"/>
    <mergeCell ref="A59:B61"/>
    <mergeCell ref="A67:B69"/>
    <mergeCell ref="C67:C75"/>
    <mergeCell ref="D67:D75"/>
    <mergeCell ref="E67:E75"/>
    <mergeCell ref="J67:J69"/>
    <mergeCell ref="A73:B75"/>
    <mergeCell ref="A56:B58"/>
    <mergeCell ref="C56:C64"/>
    <mergeCell ref="D56:D64"/>
    <mergeCell ref="E56:E64"/>
    <mergeCell ref="J56:J58"/>
    <mergeCell ref="B44:B48"/>
    <mergeCell ref="K56:K58"/>
    <mergeCell ref="L56:L58"/>
    <mergeCell ref="L78:L80"/>
    <mergeCell ref="C53:T53"/>
    <mergeCell ref="O54:O55"/>
    <mergeCell ref="P54:R55"/>
    <mergeCell ref="E89:E97"/>
    <mergeCell ref="J73:J75"/>
    <mergeCell ref="K73:K75"/>
    <mergeCell ref="O152:Q152"/>
    <mergeCell ref="C51:T52"/>
    <mergeCell ref="J59:J61"/>
    <mergeCell ref="K59:K61"/>
    <mergeCell ref="K62:K64"/>
    <mergeCell ref="J62:J64"/>
    <mergeCell ref="L62:L64"/>
    <mergeCell ref="T57:T59"/>
    <mergeCell ref="O58:O59"/>
    <mergeCell ref="L59:L61"/>
    <mergeCell ref="S100:S102"/>
    <mergeCell ref="C78:C86"/>
    <mergeCell ref="D78:D86"/>
    <mergeCell ref="E78:E86"/>
    <mergeCell ref="J78:J80"/>
    <mergeCell ref="J95:J97"/>
    <mergeCell ref="N120:O120"/>
    <mergeCell ref="D146:D152"/>
    <mergeCell ref="B119:AA119"/>
    <mergeCell ref="E100:E108"/>
    <mergeCell ref="S89:S91"/>
    <mergeCell ref="AC112:AF112"/>
    <mergeCell ref="J100:J102"/>
    <mergeCell ref="K95:K97"/>
    <mergeCell ref="L95:L97"/>
    <mergeCell ref="T100:T102"/>
    <mergeCell ref="T67:T69"/>
    <mergeCell ref="K78:K80"/>
    <mergeCell ref="L44:L48"/>
    <mergeCell ref="S67:S69"/>
    <mergeCell ref="L100:L102"/>
    <mergeCell ref="K67:K69"/>
    <mergeCell ref="J92:J94"/>
    <mergeCell ref="L67:L69"/>
    <mergeCell ref="J70:J72"/>
    <mergeCell ref="T89:T91"/>
    <mergeCell ref="J89:J91"/>
    <mergeCell ref="O90:O91"/>
    <mergeCell ref="K89:K91"/>
    <mergeCell ref="L89:L91"/>
    <mergeCell ref="O68:O69"/>
    <mergeCell ref="K92:K94"/>
    <mergeCell ref="K84:K86"/>
    <mergeCell ref="S78:S80"/>
    <mergeCell ref="T78:T80"/>
    <mergeCell ref="C100:C108"/>
    <mergeCell ref="T54:T55"/>
    <mergeCell ref="S57:S59"/>
    <mergeCell ref="AH111:AI111"/>
    <mergeCell ref="O134:Q134"/>
    <mergeCell ref="O140:Q140"/>
    <mergeCell ref="O146:Q146"/>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O101:O102"/>
    <mergeCell ref="K100:K102"/>
    <mergeCell ref="AC111:AF111"/>
  </mergeCells>
  <dataValidations count="2">
    <dataValidation type="list" allowBlank="1" showInputMessage="1" showErrorMessage="1" sqref="H14">
      <formula1>$AC$114:$AC$118</formula1>
    </dataValidation>
    <dataValidation type="list" allowBlank="1" showInputMessage="1" showErrorMessage="1" sqref="J14">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Vr.8(2020-04-27)</oddFooter>
  </headerFooter>
  <rowBreaks count="2" manualBreakCount="2">
    <brk id="50" max="34" man="1"/>
    <brk id="108" max="34" man="1"/>
  </rowBreaks>
  <ignoredErrors>
    <ignoredError sqref="P58:Q58 P68:R68 P79:R79 P90:R90 P101:R101 J163:J167 K163:K167 L163:L167 M163:M167 N163:N167"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tabSelected="1" view="pageBreakPreview" topLeftCell="B1" zoomScale="70" zoomScaleNormal="40" zoomScaleSheetLayoutView="70" workbookViewId="0">
      <selection activeCell="J8" sqref="J8"/>
    </sheetView>
  </sheetViews>
  <sheetFormatPr baseColWidth="10" defaultRowHeight="15" x14ac:dyDescent="0.2"/>
  <cols>
    <col min="1" max="1" width="20.7109375" style="6" customWidth="1"/>
    <col min="2" max="2" width="18" style="6" customWidth="1"/>
    <col min="3" max="3" width="17.140625" style="6" customWidth="1"/>
    <col min="4" max="4" width="16.7109375" style="6" customWidth="1"/>
    <col min="5" max="5" width="17.28515625" style="6" customWidth="1"/>
    <col min="6" max="6" width="11.5703125" style="6" customWidth="1"/>
    <col min="7" max="7" width="14.42578125" style="6" customWidth="1"/>
    <col min="8" max="8" width="17.5703125" style="6" customWidth="1"/>
    <col min="9" max="9" width="16.140625" style="6" customWidth="1"/>
    <col min="10" max="10" width="15.7109375" style="6" customWidth="1"/>
    <col min="11" max="11" width="12.7109375" style="6" customWidth="1"/>
    <col min="12" max="12" width="16.42578125" style="6" customWidth="1"/>
    <col min="13" max="13" width="17.140625" style="6" customWidth="1"/>
    <col min="14" max="14" width="17.85546875" style="6" customWidth="1"/>
    <col min="15" max="15" width="21" style="6" customWidth="1"/>
    <col min="16" max="16" width="16.42578125" style="6" customWidth="1"/>
    <col min="17" max="17" width="15.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399"/>
      <c r="B1" s="1400"/>
      <c r="C1" s="291"/>
      <c r="D1" s="1401" t="s">
        <v>322</v>
      </c>
      <c r="E1" s="1402"/>
      <c r="F1" s="1402"/>
      <c r="G1" s="1402"/>
      <c r="H1" s="1402"/>
      <c r="I1" s="1402"/>
      <c r="J1" s="1402"/>
      <c r="K1" s="1402"/>
      <c r="L1" s="1402"/>
      <c r="M1" s="1402"/>
      <c r="N1" s="1402"/>
      <c r="O1" s="1402"/>
      <c r="P1" s="1402"/>
      <c r="Q1" s="1402"/>
      <c r="R1" s="1403"/>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593" t="e">
        <f>VLOOKUP($S3,'DATOS @'!$D$7:$N$19,2,FALSE)</f>
        <v>#N/A</v>
      </c>
      <c r="C3" s="594" t="s">
        <v>170</v>
      </c>
      <c r="D3" s="1404" t="e">
        <f>VLOOKUP($S$3,'DATOS @'!$D$7:$N$19,3,FALSE)</f>
        <v>#N/A</v>
      </c>
      <c r="E3" s="1405"/>
      <c r="F3" s="594" t="s">
        <v>320</v>
      </c>
      <c r="G3" s="1406" t="e">
        <f>VLOOKUP($S$3,'DATOS @'!$D$7:$N$19,7,FALSE)</f>
        <v>#N/A</v>
      </c>
      <c r="H3" s="1406"/>
      <c r="I3" s="594" t="s">
        <v>171</v>
      </c>
      <c r="J3" s="1406" t="e">
        <f>VLOOKUP($S$3,'DATOS @'!$D$7:$N$19,4,FALSE)</f>
        <v>#N/A</v>
      </c>
      <c r="K3" s="1406"/>
      <c r="L3" s="594" t="s">
        <v>27</v>
      </c>
      <c r="M3" s="1404" t="e">
        <f>VLOOKUP($S$3,'DATOS @'!$D$7:$N$19,6,FALSE)</f>
        <v>#N/A</v>
      </c>
      <c r="N3" s="1405"/>
      <c r="O3" s="975" t="s">
        <v>314</v>
      </c>
      <c r="P3" s="1406" t="e">
        <f>VLOOKUP($S$3,'DATOS @'!$D$7:$N$19,11,FALSE)</f>
        <v>#N/A</v>
      </c>
      <c r="Q3" s="1406"/>
      <c r="R3" s="1407"/>
      <c r="S3" s="596"/>
    </row>
    <row r="4" spans="1:19" s="26" customFormat="1" ht="5.0999999999999996" customHeight="1" thickBot="1" x14ac:dyDescent="0.3"/>
    <row r="5" spans="1:19" s="26" customFormat="1" ht="30" customHeight="1" thickBot="1" x14ac:dyDescent="0.3">
      <c r="A5" s="1361" t="s">
        <v>56</v>
      </c>
      <c r="B5" s="1362"/>
      <c r="C5" s="1362"/>
      <c r="D5" s="1362"/>
      <c r="E5" s="1362"/>
      <c r="F5" s="1362"/>
      <c r="G5" s="1362"/>
      <c r="H5" s="1362"/>
      <c r="I5" s="1362"/>
      <c r="J5" s="1362"/>
      <c r="K5" s="1362"/>
      <c r="L5" s="1362"/>
      <c r="M5" s="1362"/>
      <c r="N5" s="1362"/>
      <c r="O5" s="1362"/>
      <c r="P5" s="1362"/>
      <c r="Q5" s="1362"/>
      <c r="R5" s="1363"/>
    </row>
    <row r="6" spans="1:19" s="23" customFormat="1" ht="67.5" customHeight="1" thickBot="1" x14ac:dyDescent="0.3">
      <c r="A6" s="597" t="s">
        <v>14</v>
      </c>
      <c r="B6" s="43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364" t="s">
        <v>177</v>
      </c>
      <c r="R6" s="1365"/>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76"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366"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977" t="e">
        <f>VLOOKUP(S8,'DATOS @'!$C$37:$R$50,16,FALSE)</f>
        <v>#N/A</v>
      </c>
      <c r="L8" s="614" t="s">
        <v>3</v>
      </c>
      <c r="M8" s="606" t="e">
        <f t="shared" si="0"/>
        <v>#N/A</v>
      </c>
      <c r="N8" s="614" t="s">
        <v>3</v>
      </c>
      <c r="O8" s="616" t="e">
        <f>VLOOKUP(S8,'DATOS @'!$C$37:$R$50,8,FALSE)</f>
        <v>#N/A</v>
      </c>
      <c r="P8" s="607" t="e">
        <f>VLOOKUP(S8,'DATOS @'!$C$37:$R$50,9,FALSE)</f>
        <v>#N/A</v>
      </c>
      <c r="Q8" s="433"/>
      <c r="R8" s="113"/>
      <c r="S8" s="617"/>
    </row>
    <row r="9" spans="1:19" s="23" customFormat="1" ht="30" customHeight="1" x14ac:dyDescent="0.25">
      <c r="A9" s="1367"/>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977"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367"/>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977"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367"/>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977"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368"/>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977"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366"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977"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367"/>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977"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367"/>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977"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367"/>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977"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368"/>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977"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78" t="e">
        <f>VLOOKUP(S18,'DATOS @'!$C$112:$W$118,21,FALSE)</f>
        <v>#N/A</v>
      </c>
      <c r="L18" s="613" t="s">
        <v>4</v>
      </c>
      <c r="M18" s="606" t="e">
        <f t="shared" si="0"/>
        <v>#N/A</v>
      </c>
      <c r="N18" s="613" t="s">
        <v>4</v>
      </c>
      <c r="O18" s="616" t="e">
        <f>VLOOKUP(S18,'DATOS @'!$C$112:$W$118,8,FALSE)</f>
        <v>#N/A</v>
      </c>
      <c r="P18" s="607" t="e">
        <f>VLOOKUP(S18,'DATOS @'!$C$112:$W$118,9,FALSE)</f>
        <v>#N/A</v>
      </c>
      <c r="Q18" s="628" t="s">
        <v>573</v>
      </c>
      <c r="R18" s="629" t="s">
        <v>574</v>
      </c>
      <c r="S18" s="630"/>
    </row>
    <row r="19" spans="1:20" s="633" customFormat="1" ht="30" customHeight="1" x14ac:dyDescent="0.25">
      <c r="A19" s="625" t="s">
        <v>167</v>
      </c>
      <c r="B19" s="1369" t="e">
        <f>VLOOKUP(S19,'DATOS @'!$C$121:$AA$128,3,FALSE)</f>
        <v>#N/A</v>
      </c>
      <c r="C19" s="1371" t="e">
        <f>VLOOKUP(S19,'DATOS @'!$C$121:$AA$128,4,FALSE)</f>
        <v>#N/A</v>
      </c>
      <c r="D19" s="1373" t="s">
        <v>4</v>
      </c>
      <c r="E19" s="1375" t="e">
        <f>VLOOKUP(S19,'DATOS @'!$C$121:$AA$128,5,FALSE)</f>
        <v>#N/A</v>
      </c>
      <c r="F19" s="1373" t="s">
        <v>4</v>
      </c>
      <c r="G19" s="1371" t="e">
        <f>VLOOKUP(S19,'DATOS @'!$C$121:$AA$128,6,FALSE)</f>
        <v>#N/A</v>
      </c>
      <c r="H19" s="1373" t="s">
        <v>4</v>
      </c>
      <c r="I19" s="1375" t="e">
        <f>VLOOKUP(S19,'DATOS @'!$C$121:$AA$128,7,FALSE)</f>
        <v>#N/A</v>
      </c>
      <c r="J19" s="1373" t="s">
        <v>4</v>
      </c>
      <c r="K19" s="1394" t="e">
        <f>VLOOKUP(S19,'DATOS @'!$C$121:$AA$128,25,FALSE)</f>
        <v>#N/A</v>
      </c>
      <c r="L19" s="1397" t="s">
        <v>4</v>
      </c>
      <c r="M19" s="1408" t="e">
        <f t="shared" si="0"/>
        <v>#N/A</v>
      </c>
      <c r="N19" s="1397" t="s">
        <v>4</v>
      </c>
      <c r="O19" s="1375" t="e">
        <f>VLOOKUP(S19,'DATOS @'!$C$121:$AA$128,8,FALSE)</f>
        <v>#N/A</v>
      </c>
      <c r="P19" s="1377" t="e">
        <f>VLOOKUP(S19,'DATOS @'!$C$121:$AA$128,9,FALSE)</f>
        <v>#N/A</v>
      </c>
      <c r="Q19" s="631" t="e">
        <f>VLOOKUP(S19,'DATOS @'!$C$121:$AA$128,12,FALSE)</f>
        <v>#N/A</v>
      </c>
      <c r="R19" s="632" t="e">
        <f>VLOOKUP(S19,'DATOS @'!$C$121:$AA$128,14,FALSE)</f>
        <v>#N/A</v>
      </c>
      <c r="S19" s="1379"/>
    </row>
    <row r="20" spans="1:20" s="23" customFormat="1" ht="30" customHeight="1" thickBot="1" x14ac:dyDescent="0.3">
      <c r="A20" s="634"/>
      <c r="B20" s="1370"/>
      <c r="C20" s="1372"/>
      <c r="D20" s="1374"/>
      <c r="E20" s="1376"/>
      <c r="F20" s="1374"/>
      <c r="G20" s="1372"/>
      <c r="H20" s="1374"/>
      <c r="I20" s="1376"/>
      <c r="J20" s="1374"/>
      <c r="K20" s="1394"/>
      <c r="L20" s="1398"/>
      <c r="M20" s="1409"/>
      <c r="N20" s="1398"/>
      <c r="O20" s="1376"/>
      <c r="P20" s="1378"/>
      <c r="Q20" s="635" t="e">
        <f>VLOOKUP(S19,'DATOS @'!$C$121:$AA$128,13,FALSE)</f>
        <v>#N/A</v>
      </c>
      <c r="R20" s="636" t="e">
        <f>VLOOKUP(S19,'DATOS @'!$C$121:$AA$128,15,FALSE)</f>
        <v>#N/A</v>
      </c>
      <c r="S20" s="1380"/>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979"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row>
    <row r="23" spans="1:20" s="23" customFormat="1" ht="30" customHeight="1" thickBot="1" x14ac:dyDescent="0.3"/>
    <row r="24" spans="1:20" s="23" customFormat="1" ht="30" customHeight="1" thickBot="1" x14ac:dyDescent="0.3">
      <c r="A24" s="26"/>
      <c r="B24" s="1381" t="s">
        <v>62</v>
      </c>
      <c r="C24" s="1382"/>
      <c r="D24" s="1382"/>
      <c r="E24" s="1382"/>
      <c r="F24" s="1382"/>
      <c r="G24" s="1383"/>
      <c r="H24" s="24"/>
      <c r="I24" s="1381" t="s">
        <v>348</v>
      </c>
      <c r="J24" s="1382"/>
      <c r="K24" s="1382"/>
      <c r="L24" s="1382"/>
      <c r="M24" s="1382"/>
      <c r="N24" s="1382"/>
      <c r="O24" s="1382"/>
      <c r="P24" s="1382"/>
      <c r="Q24" s="1382"/>
      <c r="R24" s="1383"/>
    </row>
    <row r="25" spans="1:20" s="23" customFormat="1" ht="30" customHeight="1" thickBot="1" x14ac:dyDescent="0.3">
      <c r="A25" s="26"/>
      <c r="B25" s="429" t="s">
        <v>63</v>
      </c>
      <c r="C25" s="656"/>
      <c r="D25" s="1395" t="s">
        <v>1</v>
      </c>
      <c r="E25" s="1396"/>
      <c r="F25" s="1364" t="s">
        <v>0</v>
      </c>
      <c r="G25" s="1365"/>
      <c r="H25" s="24"/>
      <c r="I25" s="1423" t="s">
        <v>57</v>
      </c>
      <c r="J25" s="1436" t="s">
        <v>42</v>
      </c>
      <c r="K25" s="1436" t="s">
        <v>43</v>
      </c>
      <c r="L25" s="1436" t="s">
        <v>512</v>
      </c>
      <c r="M25" s="1438" t="s">
        <v>64</v>
      </c>
      <c r="N25" s="24"/>
      <c r="O25" s="1423" t="s">
        <v>65</v>
      </c>
      <c r="P25" s="1423" t="s">
        <v>66</v>
      </c>
      <c r="Q25" s="1423" t="s">
        <v>67</v>
      </c>
      <c r="R25" s="1425" t="s">
        <v>319</v>
      </c>
    </row>
    <row r="26" spans="1:20" s="23" customFormat="1" ht="30" customHeight="1" thickBot="1" x14ac:dyDescent="0.3">
      <c r="A26" s="596"/>
      <c r="B26" s="1355" t="s">
        <v>37</v>
      </c>
      <c r="C26" s="1356"/>
      <c r="D26" s="1384" t="e">
        <f>VLOOKUP($A$26,'DATOS @'!$B$24:$O$26,2,FALSE)</f>
        <v>#N/A</v>
      </c>
      <c r="E26" s="1385"/>
      <c r="F26" s="1388" t="e">
        <f>VLOOKUP($H$26,'DATOS @'!$B$14:$N$16,2,FALSE)</f>
        <v>#N/A</v>
      </c>
      <c r="G26" s="1389"/>
      <c r="H26" s="596"/>
      <c r="I26" s="1435"/>
      <c r="J26" s="1437"/>
      <c r="K26" s="1437"/>
      <c r="L26" s="1437"/>
      <c r="M26" s="1439"/>
      <c r="N26" s="24"/>
      <c r="O26" s="1424"/>
      <c r="P26" s="1424"/>
      <c r="Q26" s="1424"/>
      <c r="R26" s="1426"/>
    </row>
    <row r="27" spans="1:20" s="23" customFormat="1" ht="30" customHeight="1" thickBot="1" x14ac:dyDescent="0.3">
      <c r="A27" s="26"/>
      <c r="B27" s="1355" t="s">
        <v>38</v>
      </c>
      <c r="C27" s="1356"/>
      <c r="D27" s="1386" t="e">
        <f>VLOOKUP($A$26,'DATOS @'!$B$24:$O$26,3,FALSE)</f>
        <v>#N/A</v>
      </c>
      <c r="E27" s="1387"/>
      <c r="F27" s="1390" t="e">
        <f>VLOOKUP($H$26,'DATOS @'!$B$14:$N$16,3,FALSE)</f>
        <v>#N/A</v>
      </c>
      <c r="G27" s="1391"/>
      <c r="H27" s="24"/>
      <c r="I27" s="79"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355" t="s">
        <v>26</v>
      </c>
      <c r="C28" s="1356"/>
      <c r="D28" s="1386" t="e">
        <f>VLOOKUP($A$26,'DATOS @'!$B$24:$O$26,4,FALSE)</f>
        <v>#N/A</v>
      </c>
      <c r="E28" s="1387"/>
      <c r="F28" s="1392" t="e">
        <f>VLOOKUP($H$26,'DATOS @'!$B$14:$N$16,4,FALSE)</f>
        <v>#N/A</v>
      </c>
      <c r="G28" s="1393"/>
      <c r="H28" s="24"/>
      <c r="I28" s="79"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355" t="s">
        <v>73</v>
      </c>
      <c r="C29" s="1356"/>
      <c r="D29" s="668" t="e">
        <f>VLOOKUP($A$26,'DATOS @'!$B$24:$O$26,5,FALSE)</f>
        <v>#N/A</v>
      </c>
      <c r="E29" s="641" t="s">
        <v>3</v>
      </c>
      <c r="F29" s="641" t="e">
        <f>VLOOKUP($H$26,'DATOS @'!$B$14:$N$16,5,FALSE)</f>
        <v>#N/A</v>
      </c>
      <c r="G29" s="669" t="s">
        <v>3</v>
      </c>
      <c r="H29" s="24"/>
      <c r="I29" s="79"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355" t="s">
        <v>41</v>
      </c>
      <c r="C30" s="1356"/>
      <c r="D30" s="668" t="e">
        <f>VLOOKUP($A$26,'DATOS @'!$B$24:$O$26,6,FALSE)</f>
        <v>#N/A</v>
      </c>
      <c r="E30" s="641" t="s">
        <v>9</v>
      </c>
      <c r="F30" s="641" t="e">
        <f>VLOOKUP($H$26,'DATOS @'!$B$14:$N$16,6,FALSE)</f>
        <v>#N/A</v>
      </c>
      <c r="G30" s="669" t="s">
        <v>9</v>
      </c>
      <c r="H30" s="24"/>
      <c r="I30" s="79"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355" t="s">
        <v>75</v>
      </c>
      <c r="C31" s="1356"/>
      <c r="D31" s="668"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355" t="s">
        <v>36</v>
      </c>
      <c r="C32" s="1356"/>
      <c r="D32" s="668" t="e">
        <f>VLOOKUP($A$26,'DATOS @'!$B$24:$O$26,8,FALSE)</f>
        <v>#N/A</v>
      </c>
      <c r="E32" s="641" t="s">
        <v>4</v>
      </c>
      <c r="F32" s="641" t="e">
        <f>VLOOKUP($H$26,'DATOS @'!$B$14:$N$16,8,FALSE)</f>
        <v>#N/A</v>
      </c>
      <c r="G32" s="669" t="s">
        <v>4</v>
      </c>
      <c r="H32" s="24"/>
      <c r="R32" s="26"/>
      <c r="T32" s="675"/>
    </row>
    <row r="33" spans="1:25" s="23" customFormat="1" ht="48" customHeight="1" thickBot="1" x14ac:dyDescent="0.3">
      <c r="A33" s="26"/>
      <c r="B33" s="1355" t="s">
        <v>388</v>
      </c>
      <c r="C33" s="1356"/>
      <c r="D33" s="668" t="e">
        <f>VLOOKUP($A$26,'DATOS @'!$B$24:$O$26,9,FALSE)</f>
        <v>#N/A</v>
      </c>
      <c r="E33" s="641" t="s">
        <v>514</v>
      </c>
      <c r="F33" s="641" t="e">
        <f>VLOOKUP($H$26,'DATOS @'!$B$14:$N$16,9,FALSE)</f>
        <v>#N/A</v>
      </c>
      <c r="G33" s="669" t="s">
        <v>514</v>
      </c>
      <c r="H33" s="26"/>
      <c r="I33" s="1427" t="s">
        <v>71</v>
      </c>
      <c r="J33" s="1428"/>
      <c r="K33" s="1429"/>
      <c r="L33" s="1430"/>
      <c r="N33" s="1431" t="s">
        <v>72</v>
      </c>
      <c r="O33" s="1432"/>
      <c r="P33" s="1433"/>
      <c r="Q33" s="1434"/>
      <c r="R33" s="676"/>
      <c r="T33" s="675"/>
    </row>
    <row r="34" spans="1:25" s="23" customFormat="1" ht="30" customHeight="1" thickBot="1" x14ac:dyDescent="0.3">
      <c r="A34" s="26"/>
      <c r="B34" s="1355" t="s">
        <v>78</v>
      </c>
      <c r="C34" s="1356"/>
      <c r="D34" s="668" t="e">
        <f>VLOOKUP($A$26,'DATOS @'!$B$24:$O$26,10,FALSE)</f>
        <v>#N/A</v>
      </c>
      <c r="E34" s="641" t="s">
        <v>13</v>
      </c>
      <c r="F34" s="641" t="e">
        <f>VLOOKUP($H$26,'DATOS @'!$B$14:$N$16,10,FALSE)</f>
        <v>#N/A</v>
      </c>
      <c r="G34" s="669" t="s">
        <v>13</v>
      </c>
      <c r="H34" s="24"/>
    </row>
    <row r="35" spans="1:25" s="23" customFormat="1" ht="54.75" customHeight="1" thickBot="1" x14ac:dyDescent="0.3">
      <c r="A35" s="26"/>
      <c r="B35" s="1355" t="s">
        <v>79</v>
      </c>
      <c r="C35" s="1356"/>
      <c r="D35" s="668" t="e">
        <f>VLOOKUP($A$26,'DATOS @'!$B$24:$O$26,11,FALSE)</f>
        <v>#N/A</v>
      </c>
      <c r="E35" s="641" t="s">
        <v>13</v>
      </c>
      <c r="F35" s="641" t="e">
        <f>VLOOKUP($H$26,'DATOS @'!$B$14:$N$16,11,FALSE)</f>
        <v>#N/A</v>
      </c>
      <c r="G35" s="669" t="s">
        <v>13</v>
      </c>
      <c r="H35" s="24"/>
      <c r="I35" s="1381" t="s">
        <v>515</v>
      </c>
      <c r="J35" s="1382"/>
      <c r="K35" s="1382"/>
      <c r="L35" s="1382"/>
      <c r="M35" s="1382"/>
      <c r="N35" s="1382"/>
      <c r="O35" s="1382"/>
      <c r="P35" s="1382"/>
      <c r="Q35" s="245" t="s">
        <v>295</v>
      </c>
    </row>
    <row r="36" spans="1:25" s="23" customFormat="1" ht="48" customHeight="1" thickBot="1" x14ac:dyDescent="0.3">
      <c r="A36" s="26"/>
      <c r="B36" s="1355" t="s">
        <v>567</v>
      </c>
      <c r="C36" s="1356"/>
      <c r="D36" s="668" t="e">
        <f>VLOOKUP($A$26,'DATOS @'!$B$24:$O$26,12,FALSE)</f>
        <v>#N/A</v>
      </c>
      <c r="E36" s="641" t="s">
        <v>514</v>
      </c>
      <c r="F36" s="641" t="e">
        <f>D36</f>
        <v>#N/A</v>
      </c>
      <c r="G36" s="669" t="s">
        <v>514</v>
      </c>
      <c r="H36" s="24"/>
      <c r="I36" s="1413" t="s">
        <v>74</v>
      </c>
      <c r="J36" s="1414"/>
      <c r="K36" s="1415"/>
      <c r="L36" s="1416" t="s">
        <v>20</v>
      </c>
      <c r="M36" s="1417"/>
      <c r="N36" s="1418"/>
      <c r="O36" s="677" t="s">
        <v>21</v>
      </c>
      <c r="P36" s="678" t="s">
        <v>15</v>
      </c>
      <c r="Q36" s="596"/>
    </row>
    <row r="37" spans="1:25" s="23" customFormat="1" ht="41.1" customHeight="1" thickBot="1" x14ac:dyDescent="0.3">
      <c r="A37" s="26"/>
      <c r="B37" s="1357" t="s">
        <v>76</v>
      </c>
      <c r="C37" s="1358"/>
      <c r="D37" s="679" t="e">
        <f>K58</f>
        <v>#N/A</v>
      </c>
      <c r="E37" s="680" t="s">
        <v>514</v>
      </c>
      <c r="F37" s="681" t="e">
        <f>D37</f>
        <v>#N/A</v>
      </c>
      <c r="G37" s="682" t="s">
        <v>514</v>
      </c>
      <c r="H37" s="24"/>
      <c r="I37" s="1419" t="s">
        <v>309</v>
      </c>
      <c r="J37" s="1420"/>
      <c r="K37" s="13"/>
      <c r="L37" s="1419" t="s">
        <v>309</v>
      </c>
      <c r="M37" s="1420"/>
      <c r="N37" s="13"/>
      <c r="O37" s="239" t="e">
        <f>AVERAGE(K37,N37)</f>
        <v>#DIV/0!</v>
      </c>
      <c r="P37" s="240" t="e">
        <f>O37+((VLOOKUP($Q$36,'DATOS @'!$B$162:$O$168,9,FALSE))*O37+(VLOOKUP($Q$36,'DATOS @'!$B$162:$O$168,10,FALSE)))</f>
        <v>#DIV/0!</v>
      </c>
    </row>
    <row r="38" spans="1:25" s="23" customFormat="1" ht="41.1" customHeight="1" thickBot="1" x14ac:dyDescent="0.3">
      <c r="A38" s="26"/>
      <c r="B38" s="24"/>
      <c r="C38" s="24"/>
      <c r="D38" s="24"/>
      <c r="E38" s="24"/>
      <c r="F38" s="24"/>
      <c r="G38" s="24"/>
      <c r="H38" s="24"/>
      <c r="I38" s="1421" t="s">
        <v>501</v>
      </c>
      <c r="J38" s="1422"/>
      <c r="K38" s="13"/>
      <c r="L38" s="1421" t="s">
        <v>501</v>
      </c>
      <c r="M38" s="1422"/>
      <c r="N38" s="15"/>
      <c r="O38" s="10" t="e">
        <f>AVERAGE(K38,N38)</f>
        <v>#DIV/0!</v>
      </c>
      <c r="P38" s="240" t="e">
        <f>O38+((VLOOKUP($Q$36,'DATOS @'!$B$162:$O$168,11,FALSE))*O38+(VLOOKUP($Q$36,'DATOS @'!$B$162:$O$168,12,FALSE)))</f>
        <v>#DIV/0!</v>
      </c>
    </row>
    <row r="39" spans="1:25" s="23" customFormat="1" ht="41.1" customHeight="1" thickBot="1" x14ac:dyDescent="0.3">
      <c r="A39" s="26"/>
      <c r="B39" s="1446" t="s">
        <v>180</v>
      </c>
      <c r="C39" s="1396"/>
      <c r="D39" s="1447" t="e">
        <f>VLOOKUP(H39,'DATOS @'!P9:R13,2,FALSE)</f>
        <v>#N/A</v>
      </c>
      <c r="E39" s="1448"/>
      <c r="F39" s="1448"/>
      <c r="G39" s="1449"/>
      <c r="H39" s="596"/>
      <c r="I39" s="1450" t="s">
        <v>310</v>
      </c>
      <c r="J39" s="1451"/>
      <c r="K39" s="14"/>
      <c r="L39" s="1450" t="s">
        <v>310</v>
      </c>
      <c r="M39" s="1451"/>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441" t="s">
        <v>80</v>
      </c>
      <c r="C41" s="1442"/>
      <c r="D41" s="1442"/>
      <c r="E41" s="1442"/>
      <c r="F41" s="1442"/>
      <c r="G41" s="1442"/>
      <c r="H41" s="1442"/>
      <c r="I41" s="1442"/>
      <c r="J41" s="1442"/>
      <c r="K41" s="1442"/>
      <c r="L41" s="1442"/>
      <c r="M41" s="1442"/>
      <c r="N41" s="1443"/>
      <c r="Q41" s="1410" t="s">
        <v>248</v>
      </c>
      <c r="R41" s="1411"/>
      <c r="S41" s="1411"/>
      <c r="T41" s="1411"/>
      <c r="U41" s="1411"/>
      <c r="V41" s="1411"/>
      <c r="W41" s="1411"/>
      <c r="X41" s="1411"/>
      <c r="Y41" s="1412"/>
    </row>
    <row r="42" spans="1:25" s="24" customFormat="1" ht="27.75" customHeight="1" thickBot="1" x14ac:dyDescent="0.3">
      <c r="B42" s="1431" t="s">
        <v>478</v>
      </c>
      <c r="C42" s="1440"/>
      <c r="D42" s="1440"/>
      <c r="E42" s="1440"/>
      <c r="F42" s="1440"/>
      <c r="G42" s="1432"/>
      <c r="I42" s="1431" t="s">
        <v>479</v>
      </c>
      <c r="J42" s="1440"/>
      <c r="K42" s="1440"/>
      <c r="L42" s="1440"/>
      <c r="M42" s="1440"/>
      <c r="N42" s="1432"/>
      <c r="Q42" s="683"/>
      <c r="R42" s="684"/>
      <c r="S42" s="684"/>
      <c r="T42" s="684"/>
      <c r="U42" s="684"/>
      <c r="V42" s="684"/>
      <c r="W42" s="684"/>
      <c r="X42" s="684"/>
      <c r="Y42" s="685"/>
    </row>
    <row r="43" spans="1:25" s="23" customFormat="1" ht="59.25" customHeight="1" thickBot="1" x14ac:dyDescent="0.3">
      <c r="A43" s="596"/>
      <c r="B43" s="686" t="s">
        <v>81</v>
      </c>
      <c r="C43" s="431" t="s">
        <v>387</v>
      </c>
      <c r="D43" s="97" t="s">
        <v>386</v>
      </c>
      <c r="E43" s="97" t="s">
        <v>83</v>
      </c>
      <c r="F43" s="97" t="s">
        <v>84</v>
      </c>
      <c r="G43" s="98" t="s">
        <v>85</v>
      </c>
      <c r="H43" s="24"/>
      <c r="I43" s="428"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432"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431" t="s">
        <v>465</v>
      </c>
      <c r="C47" s="1440"/>
      <c r="D47" s="1440"/>
      <c r="E47" s="1440"/>
      <c r="F47" s="1432"/>
      <c r="G47" s="719" t="e">
        <f>AVERAGE(D44:D46)</f>
        <v>#N/A</v>
      </c>
      <c r="H47" s="24"/>
      <c r="I47" s="1431" t="s">
        <v>465</v>
      </c>
      <c r="J47" s="1440"/>
      <c r="K47" s="1440"/>
      <c r="L47" s="1440"/>
      <c r="M47" s="1432"/>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441" t="s">
        <v>445</v>
      </c>
      <c r="F53" s="1442"/>
      <c r="G53" s="1442"/>
      <c r="H53" s="1442"/>
      <c r="I53" s="1442"/>
      <c r="J53" s="1442"/>
      <c r="K53" s="1442"/>
      <c r="L53" s="1443"/>
      <c r="M53" s="26"/>
      <c r="N53" s="26"/>
      <c r="O53" s="26"/>
      <c r="P53" s="26"/>
      <c r="Q53" s="26"/>
    </row>
    <row r="54" spans="1:18" s="23" customFormat="1" ht="30" customHeight="1" thickBot="1" x14ac:dyDescent="0.3">
      <c r="A54" s="26"/>
      <c r="E54" s="1444" t="s">
        <v>81</v>
      </c>
      <c r="F54" s="1445"/>
      <c r="G54" s="19" t="s">
        <v>156</v>
      </c>
      <c r="H54" s="20" t="s">
        <v>157</v>
      </c>
      <c r="I54" s="24"/>
      <c r="J54" s="721"/>
      <c r="K54" s="309"/>
      <c r="L54" s="310"/>
      <c r="M54" s="26"/>
      <c r="N54" s="722" t="s">
        <v>4</v>
      </c>
      <c r="O54" s="1460" t="s">
        <v>87</v>
      </c>
      <c r="P54" s="723"/>
      <c r="Q54" s="724" t="e">
        <f>IF(R30&gt;=(N55)," AJUSTAR","NO AJUSTAR")</f>
        <v>#N/A</v>
      </c>
      <c r="R54" s="725"/>
    </row>
    <row r="55" spans="1:18" s="23" customFormat="1" ht="30" customHeight="1" thickBot="1" x14ac:dyDescent="0.3">
      <c r="A55" s="26"/>
      <c r="E55" s="1462">
        <v>1</v>
      </c>
      <c r="F55" s="1463"/>
      <c r="G55" s="726" t="e">
        <f>$C$7*((1-$D$33*($D$29-D44))+($K$55)*(J44-D44)+$F$33*($F$29-J44))</f>
        <v>#N/A</v>
      </c>
      <c r="H55" s="671" t="e">
        <f>G55+N44</f>
        <v>#N/A</v>
      </c>
      <c r="I55" s="24"/>
      <c r="J55" s="79">
        <v>1</v>
      </c>
      <c r="K55" s="727" t="e">
        <f>(-0.1176*((D44+J44)/2)^2+(15.846*(D44+J44)/2)-62.677)*10^-6</f>
        <v>#N/A</v>
      </c>
      <c r="L55" s="106" t="s">
        <v>514</v>
      </c>
      <c r="M55" s="24"/>
      <c r="N55" s="728">
        <v>8.1940000000000008</v>
      </c>
      <c r="O55" s="1461"/>
      <c r="P55" s="729"/>
      <c r="Q55" s="730" t="e">
        <f>Q30</f>
        <v>#N/A</v>
      </c>
      <c r="R55" s="729"/>
    </row>
    <row r="56" spans="1:18" s="23" customFormat="1" ht="30" customHeight="1" thickBot="1" x14ac:dyDescent="0.3">
      <c r="A56" s="26"/>
      <c r="E56" s="1462">
        <v>2</v>
      </c>
      <c r="F56" s="1463"/>
      <c r="G56" s="726" t="e">
        <f>$C$7*((1-$D$33*($D$29-D45))+($K$56)*(J45-D45)+$F$33*($F$29-J45))</f>
        <v>#N/A</v>
      </c>
      <c r="H56" s="671" t="e">
        <f>G56+N45</f>
        <v>#N/A</v>
      </c>
      <c r="I56" s="24"/>
      <c r="J56" s="79">
        <v>2</v>
      </c>
      <c r="K56" s="727" t="e">
        <f>(-0.1176*((D45+J45)/2)^2+(15.846*(D45+J45)/2)-62.677)*10^-6</f>
        <v>#N/A</v>
      </c>
      <c r="L56" s="106" t="s">
        <v>514</v>
      </c>
      <c r="N56" s="731" t="s">
        <v>219</v>
      </c>
      <c r="O56" s="1464" t="s">
        <v>516</v>
      </c>
      <c r="P56" s="732"/>
      <c r="Q56" s="733" t="e">
        <f>IF(R28&gt;=(N57)," AJUSTAR","NO AJUSTAR")</f>
        <v>#N/A</v>
      </c>
      <c r="R56" s="734"/>
    </row>
    <row r="57" spans="1:18" s="23" customFormat="1" ht="30" customHeight="1" thickBot="1" x14ac:dyDescent="0.3">
      <c r="A57" s="26"/>
      <c r="E57" s="1462">
        <v>3</v>
      </c>
      <c r="F57" s="1463"/>
      <c r="G57" s="726" t="e">
        <f>$C$7*((1-$D$33*($D$29-D46))+($K$57)*(J46-D46)+$F$33*($F$29-J46))</f>
        <v>#N/A</v>
      </c>
      <c r="H57" s="671" t="e">
        <f>G57+N46</f>
        <v>#N/A</v>
      </c>
      <c r="I57" s="24"/>
      <c r="J57" s="79">
        <v>3</v>
      </c>
      <c r="K57" s="727" t="e">
        <f>(-0.1176*((D46+J46)/2)^2+(15.846*(D46+J46)/2)-62.677)*10^-6</f>
        <v>#N/A</v>
      </c>
      <c r="L57" s="106" t="s">
        <v>514</v>
      </c>
      <c r="N57" s="735">
        <v>0.5</v>
      </c>
      <c r="O57" s="1461"/>
      <c r="P57" s="736"/>
      <c r="Q57" s="737" t="e">
        <f>Q28</f>
        <v>#N/A</v>
      </c>
      <c r="R57" s="738"/>
    </row>
    <row r="58" spans="1:18" s="23" customFormat="1" ht="30" customHeight="1" thickBot="1" x14ac:dyDescent="0.3">
      <c r="A58" s="26"/>
      <c r="E58" s="1452" t="s">
        <v>517</v>
      </c>
      <c r="F58" s="1453"/>
      <c r="G58" s="1454"/>
      <c r="H58" s="671" t="e">
        <f>AVERAGE(H55:H57)</f>
        <v>#N/A</v>
      </c>
      <c r="J58" s="1" t="s">
        <v>2</v>
      </c>
      <c r="K58" s="739" t="e">
        <f>AVERAGE(K55:K57)</f>
        <v>#N/A</v>
      </c>
      <c r="L58" s="740" t="s">
        <v>514</v>
      </c>
    </row>
    <row r="59" spans="1:18" s="23" customFormat="1" ht="30" customHeight="1" x14ac:dyDescent="0.25">
      <c r="A59" s="26"/>
      <c r="E59" s="1452" t="s">
        <v>518</v>
      </c>
      <c r="F59" s="1453"/>
      <c r="G59" s="1454"/>
      <c r="H59" s="741" t="e">
        <f>_xlfn.STDEV.S(H55:H57)</f>
        <v>#N/A</v>
      </c>
      <c r="I59" s="26"/>
    </row>
    <row r="60" spans="1:18" s="23" customFormat="1" ht="30" customHeight="1" thickBot="1" x14ac:dyDescent="0.3">
      <c r="A60" s="26"/>
      <c r="B60" s="24"/>
      <c r="E60" s="1455" t="s">
        <v>88</v>
      </c>
      <c r="F60" s="1456"/>
      <c r="G60" s="1457"/>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743"/>
      <c r="J62" s="433"/>
      <c r="K62" s="433"/>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441" t="s">
        <v>89</v>
      </c>
      <c r="C64" s="1442"/>
      <c r="D64" s="1442"/>
      <c r="E64" s="1442"/>
      <c r="F64" s="1442"/>
      <c r="G64" s="1442"/>
      <c r="H64" s="1442"/>
      <c r="I64" s="1442"/>
      <c r="J64" s="1442"/>
      <c r="K64" s="1442"/>
      <c r="L64" s="1443"/>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428" t="s">
        <v>57</v>
      </c>
      <c r="O65" s="97" t="s">
        <v>1</v>
      </c>
      <c r="P65" s="98" t="s">
        <v>0</v>
      </c>
      <c r="Q65" s="26"/>
      <c r="R65" s="26"/>
    </row>
    <row r="66" spans="1:18" s="24" customFormat="1" ht="30" customHeight="1" thickBot="1" x14ac:dyDescent="0.3">
      <c r="B66" s="1458" t="s">
        <v>181</v>
      </c>
      <c r="C66" s="1459"/>
      <c r="D66" s="1459"/>
      <c r="E66" s="747"/>
      <c r="F66" s="747"/>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458" t="s">
        <v>182</v>
      </c>
      <c r="C68" s="1459"/>
      <c r="D68" s="1459"/>
      <c r="E68" s="1459"/>
      <c r="F68" s="747"/>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458" t="s">
        <v>183</v>
      </c>
      <c r="C70" s="1459"/>
      <c r="D70" s="1459"/>
      <c r="E70" s="1459"/>
      <c r="F70" s="747"/>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458" t="s">
        <v>572</v>
      </c>
      <c r="C72" s="1459"/>
      <c r="D72" s="1459"/>
      <c r="E72" s="1459"/>
      <c r="F72" s="1459"/>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458" t="s">
        <v>570</v>
      </c>
      <c r="C74" s="1459"/>
      <c r="D74" s="1459"/>
      <c r="E74" s="1459"/>
      <c r="F74" s="1459"/>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458" t="s">
        <v>571</v>
      </c>
      <c r="C76" s="1459"/>
      <c r="D76" s="1459"/>
      <c r="E76" s="1459"/>
      <c r="F76" s="1459"/>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458" t="s">
        <v>91</v>
      </c>
      <c r="C78" s="1459"/>
      <c r="D78" s="1459"/>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458" t="s">
        <v>92</v>
      </c>
      <c r="C80" s="1459"/>
      <c r="D80" s="1459"/>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458" t="s">
        <v>93</v>
      </c>
      <c r="C82" s="1459"/>
      <c r="D82" s="1459"/>
      <c r="E82" s="747"/>
      <c r="F82" s="747"/>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441" t="s">
        <v>94</v>
      </c>
      <c r="C86" s="1442"/>
      <c r="D86" s="1442"/>
      <c r="E86" s="1442"/>
      <c r="F86" s="1442"/>
      <c r="G86" s="1442"/>
      <c r="H86" s="1442"/>
      <c r="I86" s="1442"/>
      <c r="J86" s="1442"/>
      <c r="K86" s="1442"/>
      <c r="L86" s="1442"/>
      <c r="M86" s="1442"/>
      <c r="N86" s="1442"/>
      <c r="O86" s="1442"/>
      <c r="P86" s="1442"/>
      <c r="Q86" s="1443"/>
    </row>
    <row r="87" spans="1:18" s="23" customFormat="1" ht="57.75" customHeight="1" thickBot="1" x14ac:dyDescent="0.3">
      <c r="B87" s="1431" t="s">
        <v>95</v>
      </c>
      <c r="C87" s="1474"/>
      <c r="D87" s="97" t="s">
        <v>158</v>
      </c>
      <c r="E87" s="97" t="s">
        <v>96</v>
      </c>
      <c r="F87" s="97"/>
      <c r="G87" s="980"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475" t="s">
        <v>104</v>
      </c>
      <c r="C88" s="1476"/>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472" t="s">
        <v>105</v>
      </c>
      <c r="C89" s="1473"/>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465"/>
      <c r="B90" s="1466" t="s">
        <v>107</v>
      </c>
      <c r="C90" s="1467"/>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465"/>
      <c r="B91" s="1468"/>
      <c r="C91" s="1469"/>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470" t="s">
        <v>184</v>
      </c>
      <c r="C92" s="1471"/>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472" t="s">
        <v>185</v>
      </c>
      <c r="C93" s="1473"/>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472" t="s">
        <v>186</v>
      </c>
      <c r="C94" s="1473"/>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466" t="s">
        <v>187</v>
      </c>
      <c r="C95" s="1467"/>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470" t="s">
        <v>108</v>
      </c>
      <c r="C97" s="1471"/>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472" t="s">
        <v>109</v>
      </c>
      <c r="C98" s="1473"/>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472" t="s">
        <v>110</v>
      </c>
      <c r="C99" s="1473"/>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472" t="s">
        <v>107</v>
      </c>
      <c r="C100" s="1473"/>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472" t="s">
        <v>111</v>
      </c>
      <c r="C101" s="1473"/>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472" t="s">
        <v>112</v>
      </c>
      <c r="C102" s="1473"/>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472" t="s">
        <v>109</v>
      </c>
      <c r="C103" s="1473"/>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477" t="s">
        <v>110</v>
      </c>
      <c r="C104" s="1478"/>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477" t="s">
        <v>107</v>
      </c>
      <c r="C105" s="1478"/>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477" t="s">
        <v>111</v>
      </c>
      <c r="C106" s="1478"/>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45.95" customHeight="1" x14ac:dyDescent="0.25">
      <c r="A107" s="24"/>
      <c r="B107" s="1477" t="s">
        <v>165</v>
      </c>
      <c r="C107" s="1478"/>
      <c r="D107" s="808" t="e">
        <f>D37</f>
        <v>#N/A</v>
      </c>
      <c r="E107" s="809" t="e">
        <f>D37</f>
        <v>#N/A</v>
      </c>
      <c r="F107" s="780" t="s">
        <v>10</v>
      </c>
      <c r="G107" s="956"/>
      <c r="H107" s="957"/>
      <c r="I107" s="175"/>
      <c r="J107" s="805"/>
      <c r="K107" s="175"/>
      <c r="L107" s="175"/>
      <c r="M107" s="175"/>
      <c r="N107" s="175"/>
      <c r="O107" s="175"/>
      <c r="P107" s="175"/>
      <c r="Q107" s="786"/>
      <c r="R107" s="26"/>
    </row>
    <row r="108" spans="1:90" s="773" customFormat="1" ht="45.95" customHeight="1" x14ac:dyDescent="0.25">
      <c r="A108" s="24"/>
      <c r="B108" s="1477" t="s">
        <v>389</v>
      </c>
      <c r="C108" s="1478"/>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477" t="s">
        <v>388</v>
      </c>
      <c r="C109" s="1478"/>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477" t="s">
        <v>388</v>
      </c>
      <c r="C110" s="1478"/>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485" t="s">
        <v>388</v>
      </c>
      <c r="C111" s="1486"/>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487" t="s">
        <v>116</v>
      </c>
      <c r="C113" s="1488"/>
      <c r="D113" s="1488"/>
      <c r="E113" s="1488"/>
      <c r="F113" s="1488"/>
      <c r="G113" s="1488"/>
      <c r="H113" s="1488"/>
      <c r="I113" s="1488"/>
      <c r="J113" s="1488"/>
      <c r="K113" s="1488"/>
      <c r="L113" s="1488"/>
      <c r="M113" s="1488"/>
      <c r="N113" s="1488"/>
      <c r="O113" s="1488"/>
      <c r="P113" s="1488"/>
      <c r="Q113" s="1489"/>
      <c r="R113" s="26"/>
    </row>
    <row r="114" spans="1:31" s="23" customFormat="1" ht="30" customHeight="1" x14ac:dyDescent="0.25">
      <c r="A114" s="24"/>
      <c r="B114" s="1490" t="s">
        <v>117</v>
      </c>
      <c r="C114" s="1491"/>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492" t="s">
        <v>118</v>
      </c>
      <c r="C115" s="1493"/>
      <c r="D115" s="825"/>
      <c r="E115" s="782"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492" t="s">
        <v>119</v>
      </c>
      <c r="C116" s="1493"/>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494" t="s">
        <v>121</v>
      </c>
      <c r="C117" s="1495"/>
      <c r="D117" s="829"/>
      <c r="E117" s="986" t="e">
        <f>C121*0.01%</f>
        <v>#N/A</v>
      </c>
      <c r="F117" s="780" t="s">
        <v>4</v>
      </c>
      <c r="G117" s="830">
        <v>1</v>
      </c>
      <c r="H117" s="435" t="e">
        <f t="shared" si="5"/>
        <v>#N/A</v>
      </c>
      <c r="I117" s="780" t="s">
        <v>4</v>
      </c>
      <c r="J117" s="827">
        <v>1</v>
      </c>
      <c r="K117" s="780"/>
      <c r="L117" s="435" t="e">
        <f t="shared" si="6"/>
        <v>#N/A</v>
      </c>
      <c r="M117" s="780" t="s">
        <v>4</v>
      </c>
      <c r="N117" s="818" t="e">
        <f t="shared" si="7"/>
        <v>#N/A</v>
      </c>
      <c r="O117" s="780" t="s">
        <v>122</v>
      </c>
      <c r="P117" s="435" t="s">
        <v>106</v>
      </c>
      <c r="Q117" s="427"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441" t="s">
        <v>124</v>
      </c>
      <c r="C119" s="1442"/>
      <c r="D119" s="1442"/>
      <c r="E119" s="1442"/>
      <c r="F119" s="1442"/>
      <c r="G119" s="1442"/>
      <c r="H119" s="1442"/>
      <c r="I119" s="1442"/>
      <c r="J119" s="1443"/>
      <c r="K119" s="24"/>
      <c r="L119" s="1479" t="s">
        <v>123</v>
      </c>
      <c r="M119" s="1480"/>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481" t="s">
        <v>399</v>
      </c>
      <c r="M120" s="1482"/>
      <c r="N120" s="143" t="e">
        <f>(N118^4)/((L89^4/Q89)+(L99^4/Q99)+(L104^4/Q104)+(L93^4/Q93)+(L116^4/Q116))</f>
        <v>#N/A</v>
      </c>
      <c r="O120" s="24"/>
    </row>
    <row r="121" spans="1:31" s="23" customFormat="1" ht="30" customHeight="1" thickBot="1" x14ac:dyDescent="0.3">
      <c r="A121" s="26"/>
      <c r="B121" s="839" t="s">
        <v>4</v>
      </c>
      <c r="C121" s="840" t="e">
        <f>H58</f>
        <v>#N/A</v>
      </c>
      <c r="D121" s="841" t="e">
        <f>N118</f>
        <v>#N/A</v>
      </c>
      <c r="E121" s="1496">
        <v>2</v>
      </c>
      <c r="F121" s="841" t="e">
        <f>(D121*E121)</f>
        <v>#N/A</v>
      </c>
      <c r="G121" s="1499">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497"/>
      <c r="F122" s="848" t="e">
        <f>D122*E121</f>
        <v>#N/A</v>
      </c>
      <c r="G122" s="1500"/>
      <c r="H122" s="849" t="e">
        <f>H121/L30</f>
        <v>#N/A</v>
      </c>
      <c r="I122" s="657" t="e">
        <f>ABS(H122)</f>
        <v>#N/A</v>
      </c>
      <c r="J122" s="760" t="e">
        <f>F122*I122</f>
        <v>#N/A</v>
      </c>
      <c r="K122" s="26"/>
      <c r="M122" s="1483" t="s">
        <v>97</v>
      </c>
      <c r="N122" s="1484"/>
      <c r="O122" s="26"/>
      <c r="P122" s="338">
        <v>0.3</v>
      </c>
      <c r="Q122" s="850">
        <v>1.65</v>
      </c>
    </row>
    <row r="123" spans="1:31" s="24" customFormat="1" ht="36.75" customHeight="1" thickBot="1" x14ac:dyDescent="0.3">
      <c r="B123" s="847" t="s">
        <v>9</v>
      </c>
      <c r="C123" s="851" t="e">
        <f>C122/L27</f>
        <v>#N/A</v>
      </c>
      <c r="D123" s="852" t="e">
        <f>D122/L27</f>
        <v>#N/A</v>
      </c>
      <c r="E123" s="1497"/>
      <c r="F123" s="853" t="e">
        <f>D123*E121</f>
        <v>#N/A</v>
      </c>
      <c r="G123" s="1500"/>
      <c r="H123" s="854" t="e">
        <f>H122/L27</f>
        <v>#N/A</v>
      </c>
      <c r="I123" s="855" t="e">
        <f>ABS(H123)</f>
        <v>#N/A</v>
      </c>
      <c r="J123" s="856" t="e">
        <f>F123*I123</f>
        <v>#N/A</v>
      </c>
      <c r="M123" s="857" t="e">
        <f>_xlfn.T.INV.2T(0.05,N120)</f>
        <v>#N/A</v>
      </c>
      <c r="N123" s="858" t="e">
        <f>TINV(0.05,N120)</f>
        <v>#N/A</v>
      </c>
      <c r="P123" s="1502" t="s">
        <v>354</v>
      </c>
      <c r="Q123" s="1503"/>
      <c r="R123" s="1504"/>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498"/>
      <c r="F124" s="863" t="e">
        <f>(D124*E121)</f>
        <v>#N/A</v>
      </c>
      <c r="G124" s="1501"/>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360"/>
      <c r="W124" s="1360"/>
      <c r="X124" s="1360"/>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359"/>
      <c r="W125" s="1359"/>
      <c r="X125" s="1359"/>
    </row>
  </sheetData>
  <sheetProtection password="CF5C" sheet="1" objects="1" scenarios="1"/>
  <mergeCells count="139">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 ref="B105:C105"/>
    <mergeCell ref="B106:C106"/>
    <mergeCell ref="B107:C107"/>
    <mergeCell ref="B108:C108"/>
    <mergeCell ref="B109:C109"/>
    <mergeCell ref="B110:C110"/>
    <mergeCell ref="B99:C99"/>
    <mergeCell ref="B100:C100"/>
    <mergeCell ref="B101:C101"/>
    <mergeCell ref="B102:C102"/>
    <mergeCell ref="B103:C103"/>
    <mergeCell ref="B104:C104"/>
    <mergeCell ref="B92:C92"/>
    <mergeCell ref="B93:C93"/>
    <mergeCell ref="B94:C94"/>
    <mergeCell ref="B95:C95"/>
    <mergeCell ref="B97:C97"/>
    <mergeCell ref="B98:C98"/>
    <mergeCell ref="B86:Q86"/>
    <mergeCell ref="B87:C87"/>
    <mergeCell ref="B88:C88"/>
    <mergeCell ref="B89:C89"/>
    <mergeCell ref="A90:A91"/>
    <mergeCell ref="B90:C90"/>
    <mergeCell ref="B91:C91"/>
    <mergeCell ref="B72:F72"/>
    <mergeCell ref="B74:F74"/>
    <mergeCell ref="B76:F76"/>
    <mergeCell ref="B78:D78"/>
    <mergeCell ref="B80:D80"/>
    <mergeCell ref="B82:D82"/>
    <mergeCell ref="E59:G59"/>
    <mergeCell ref="E60:G60"/>
    <mergeCell ref="B64:L64"/>
    <mergeCell ref="B66:D66"/>
    <mergeCell ref="B68:E68"/>
    <mergeCell ref="B70:E70"/>
    <mergeCell ref="O54:O55"/>
    <mergeCell ref="E55:F55"/>
    <mergeCell ref="E56:F56"/>
    <mergeCell ref="O56:O57"/>
    <mergeCell ref="E57:F57"/>
    <mergeCell ref="E58:G58"/>
    <mergeCell ref="B42:G42"/>
    <mergeCell ref="I42:N42"/>
    <mergeCell ref="E53:L53"/>
    <mergeCell ref="E54:F54"/>
    <mergeCell ref="B39:C39"/>
    <mergeCell ref="D39:G39"/>
    <mergeCell ref="I39:J39"/>
    <mergeCell ref="L39:M39"/>
    <mergeCell ref="B41:N41"/>
    <mergeCell ref="B47:F47"/>
    <mergeCell ref="I47:M47"/>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B26:C26"/>
    <mergeCell ref="B27:C27"/>
    <mergeCell ref="B28:C28"/>
    <mergeCell ref="B29:C29"/>
    <mergeCell ref="B30:C30"/>
    <mergeCell ref="B31:C31"/>
    <mergeCell ref="D27:E27"/>
    <mergeCell ref="D28:E28"/>
    <mergeCell ref="F26:G26"/>
    <mergeCell ref="F27:G27"/>
    <mergeCell ref="F28:G28"/>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view="pageBreakPreview" topLeftCell="A85" zoomScaleNormal="40" zoomScaleSheetLayoutView="100" workbookViewId="0">
      <selection activeCell="B95" sqref="B95:C95"/>
    </sheetView>
  </sheetViews>
  <sheetFormatPr baseColWidth="10" defaultRowHeight="15" x14ac:dyDescent="0.2"/>
  <cols>
    <col min="1" max="1" width="20.7109375" style="6" customWidth="1"/>
    <col min="2" max="2" width="18" style="6" customWidth="1"/>
    <col min="3" max="3" width="14.5703125" style="6" customWidth="1"/>
    <col min="4" max="4" width="15.28515625" style="6" customWidth="1"/>
    <col min="5" max="5" width="17.42578125" style="6" customWidth="1"/>
    <col min="6" max="6" width="11.5703125" style="6" customWidth="1"/>
    <col min="7" max="7" width="14.42578125" style="6" customWidth="1"/>
    <col min="8" max="8" width="16.28515625" style="6" customWidth="1"/>
    <col min="9" max="9" width="13.85546875" style="6" customWidth="1"/>
    <col min="10" max="10" width="15.28515625" style="6" customWidth="1"/>
    <col min="11" max="11" width="12.7109375" style="6" customWidth="1"/>
    <col min="12" max="12" width="15.85546875" style="6" customWidth="1"/>
    <col min="13" max="13" width="17.140625" style="6" customWidth="1"/>
    <col min="14" max="14" width="16.85546875" style="6" customWidth="1"/>
    <col min="15" max="15" width="21" style="6" customWidth="1"/>
    <col min="16" max="16" width="14.7109375" style="6" customWidth="1"/>
    <col min="17" max="17" width="13.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399"/>
      <c r="B1" s="1400"/>
      <c r="C1" s="291"/>
      <c r="D1" s="1401" t="s">
        <v>322</v>
      </c>
      <c r="E1" s="1402"/>
      <c r="F1" s="1402"/>
      <c r="G1" s="1402"/>
      <c r="H1" s="1402"/>
      <c r="I1" s="1402"/>
      <c r="J1" s="1402"/>
      <c r="K1" s="1402"/>
      <c r="L1" s="1402"/>
      <c r="M1" s="1402"/>
      <c r="N1" s="1402"/>
      <c r="O1" s="1402"/>
      <c r="P1" s="1402"/>
      <c r="Q1" s="1402"/>
      <c r="R1" s="1403"/>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882" t="e">
        <f>VLOOKUP($S3,'DATOS @'!$D$7:$N$19,2,FALSE)</f>
        <v>#N/A</v>
      </c>
      <c r="C3" s="594" t="s">
        <v>170</v>
      </c>
      <c r="D3" s="1404" t="e">
        <f>VLOOKUP($S$3,'DATOS @'!$D$7:$N$19,3,FALSE)</f>
        <v>#N/A</v>
      </c>
      <c r="E3" s="1405"/>
      <c r="F3" s="594" t="s">
        <v>320</v>
      </c>
      <c r="G3" s="1406" t="e">
        <f>VLOOKUP($S$3,'DATOS @'!$D$7:$N$19,7,FALSE)</f>
        <v>#N/A</v>
      </c>
      <c r="H3" s="1406"/>
      <c r="I3" s="594" t="s">
        <v>171</v>
      </c>
      <c r="J3" s="1406" t="e">
        <f>VLOOKUP($S$3,'DATOS @'!$D$7:$N$19,4,FALSE)</f>
        <v>#N/A</v>
      </c>
      <c r="K3" s="1406"/>
      <c r="L3" s="594" t="s">
        <v>27</v>
      </c>
      <c r="M3" s="1404" t="e">
        <f>VLOOKUP($S$3,'DATOS @'!$D$7:$N$19,6,FALSE)</f>
        <v>#N/A</v>
      </c>
      <c r="N3" s="1405"/>
      <c r="O3" s="595" t="s">
        <v>314</v>
      </c>
      <c r="P3" s="1406" t="e">
        <f>VLOOKUP($S$3,'DATOS @'!$D$7:$N$19,11,FALSE)</f>
        <v>#N/A</v>
      </c>
      <c r="Q3" s="1406"/>
      <c r="R3" s="1407"/>
      <c r="S3" s="596"/>
    </row>
    <row r="4" spans="1:19" s="26" customFormat="1" ht="5.0999999999999996" customHeight="1" thickBot="1" x14ac:dyDescent="0.3"/>
    <row r="5" spans="1:19" s="26" customFormat="1" ht="30" customHeight="1" thickBot="1" x14ac:dyDescent="0.3">
      <c r="A5" s="1361" t="s">
        <v>56</v>
      </c>
      <c r="B5" s="1362"/>
      <c r="C5" s="1362"/>
      <c r="D5" s="1362"/>
      <c r="E5" s="1362"/>
      <c r="F5" s="1362"/>
      <c r="G5" s="1362"/>
      <c r="H5" s="1362"/>
      <c r="I5" s="1362"/>
      <c r="J5" s="1362"/>
      <c r="K5" s="1362"/>
      <c r="L5" s="1362"/>
      <c r="M5" s="1362"/>
      <c r="N5" s="1362"/>
      <c r="O5" s="1362"/>
      <c r="P5" s="1362"/>
      <c r="Q5" s="1362"/>
      <c r="R5" s="1363"/>
    </row>
    <row r="6" spans="1:19" s="23" customFormat="1" ht="64.5" customHeight="1" thickBot="1" x14ac:dyDescent="0.3">
      <c r="A6" s="597" t="s">
        <v>14</v>
      </c>
      <c r="B6" s="88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364" t="s">
        <v>177</v>
      </c>
      <c r="R6" s="1365"/>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17"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366"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615" t="e">
        <f>VLOOKUP(S8,'DATOS @'!$C$37:$R$50,16,FALSE)</f>
        <v>#N/A</v>
      </c>
      <c r="L8" s="614" t="s">
        <v>3</v>
      </c>
      <c r="M8" s="606" t="e">
        <f t="shared" si="0"/>
        <v>#N/A</v>
      </c>
      <c r="N8" s="614" t="s">
        <v>3</v>
      </c>
      <c r="O8" s="616" t="e">
        <f>VLOOKUP(S8,'DATOS @'!$C$37:$R$50,8,FALSE)</f>
        <v>#N/A</v>
      </c>
      <c r="P8" s="607" t="e">
        <f>VLOOKUP(S8,'DATOS @'!$C$37:$R$50,9,FALSE)</f>
        <v>#N/A</v>
      </c>
      <c r="Q8" s="889"/>
      <c r="R8" s="113"/>
      <c r="S8" s="617"/>
    </row>
    <row r="9" spans="1:19" s="23" customFormat="1" ht="30" customHeight="1" x14ac:dyDescent="0.25">
      <c r="A9" s="1367"/>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615"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367"/>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615"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367"/>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615"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368"/>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615"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366"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615"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367"/>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615"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367"/>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615"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367"/>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615"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368"/>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615"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18" t="e">
        <f>VLOOKUP(S18,'DATOS @'!$C$112:$W$118,21,FALSE)</f>
        <v>#N/A</v>
      </c>
      <c r="L18" s="613" t="s">
        <v>4</v>
      </c>
      <c r="M18" s="606" t="e">
        <f t="shared" si="0"/>
        <v>#N/A</v>
      </c>
      <c r="N18" s="613" t="s">
        <v>4</v>
      </c>
      <c r="O18" s="616" t="e">
        <f>VLOOKUP(S18,'DATOS @'!$C$112:$W$118,8,FALSE)</f>
        <v>#N/A</v>
      </c>
      <c r="P18" s="607" t="e">
        <f>VLOOKUP(S18,'DATOS @'!$C$112:$W$118,9,FALSE)</f>
        <v>#N/A</v>
      </c>
      <c r="Q18" s="628" t="s">
        <v>573</v>
      </c>
      <c r="R18" s="629" t="s">
        <v>575</v>
      </c>
      <c r="S18" s="630"/>
    </row>
    <row r="19" spans="1:20" s="633" customFormat="1" ht="30" customHeight="1" x14ac:dyDescent="0.25">
      <c r="A19" s="625" t="s">
        <v>167</v>
      </c>
      <c r="B19" s="1369" t="e">
        <f>VLOOKUP(S19,'DATOS @'!$C$121:$AA$128,3,FALSE)</f>
        <v>#N/A</v>
      </c>
      <c r="C19" s="1371" t="e">
        <f>VLOOKUP(S19,'DATOS @'!$C$121:$AA$128,4,FALSE)</f>
        <v>#N/A</v>
      </c>
      <c r="D19" s="1373" t="s">
        <v>4</v>
      </c>
      <c r="E19" s="1375" t="e">
        <f>VLOOKUP(S19,'DATOS @'!$C$121:$AA$128,5,FALSE)</f>
        <v>#N/A</v>
      </c>
      <c r="F19" s="1373" t="s">
        <v>4</v>
      </c>
      <c r="G19" s="1371" t="e">
        <f>VLOOKUP(S19,'DATOS @'!$C$121:$AA$128,6,FALSE)</f>
        <v>#N/A</v>
      </c>
      <c r="H19" s="1373" t="s">
        <v>4</v>
      </c>
      <c r="I19" s="1375" t="e">
        <f>VLOOKUP(S19,'DATOS @'!$C$121:$AA$128,7,FALSE)</f>
        <v>#N/A</v>
      </c>
      <c r="J19" s="1373" t="s">
        <v>4</v>
      </c>
      <c r="K19" s="1505" t="e">
        <f>VLOOKUP(S19,'DATOS @'!$C$121:$AA$128,25,FALSE)</f>
        <v>#N/A</v>
      </c>
      <c r="L19" s="1397" t="s">
        <v>4</v>
      </c>
      <c r="M19" s="1408" t="e">
        <f t="shared" si="0"/>
        <v>#N/A</v>
      </c>
      <c r="N19" s="1397" t="s">
        <v>4</v>
      </c>
      <c r="O19" s="1375" t="e">
        <f>VLOOKUP(S19,'DATOS @'!$C$121:$AA$128,8,FALSE)</f>
        <v>#N/A</v>
      </c>
      <c r="P19" s="1377" t="e">
        <f>VLOOKUP(S19,'DATOS @'!$C$121:$AA$128,9,FALSE)</f>
        <v>#N/A</v>
      </c>
      <c r="Q19" s="631" t="e">
        <f>VLOOKUP(S19,'DATOS @'!$C$121:$AA$128,12,FALSE)</f>
        <v>#N/A</v>
      </c>
      <c r="R19" s="632" t="e">
        <f>VLOOKUP(S19,'DATOS @'!$C$121:$AA$128,14,FALSE)</f>
        <v>#N/A</v>
      </c>
      <c r="S19" s="1379"/>
    </row>
    <row r="20" spans="1:20" s="23" customFormat="1" ht="30" customHeight="1" thickBot="1" x14ac:dyDescent="0.3">
      <c r="A20" s="634"/>
      <c r="B20" s="1370"/>
      <c r="C20" s="1372"/>
      <c r="D20" s="1374"/>
      <c r="E20" s="1376"/>
      <c r="F20" s="1374"/>
      <c r="G20" s="1372"/>
      <c r="H20" s="1374"/>
      <c r="I20" s="1376"/>
      <c r="J20" s="1374"/>
      <c r="K20" s="1505"/>
      <c r="L20" s="1398"/>
      <c r="M20" s="1409"/>
      <c r="N20" s="1398"/>
      <c r="O20" s="1376"/>
      <c r="P20" s="1378"/>
      <c r="Q20" s="635" t="e">
        <f>VLOOKUP(S19,'DATOS @'!$C$121:$AA$128,13,FALSE)</f>
        <v>#N/A</v>
      </c>
      <c r="R20" s="636" t="e">
        <f>VLOOKUP(S19,'DATOS @'!$C$121:$AA$128,15,FALSE)</f>
        <v>#N/A</v>
      </c>
      <c r="S20" s="1380"/>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640"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t="s">
        <v>269</v>
      </c>
    </row>
    <row r="23" spans="1:20" s="23" customFormat="1" ht="30" customHeight="1" thickBot="1" x14ac:dyDescent="0.3"/>
    <row r="24" spans="1:20" s="23" customFormat="1" ht="30" customHeight="1" thickBot="1" x14ac:dyDescent="0.3">
      <c r="A24" s="26"/>
      <c r="B24" s="1381" t="s">
        <v>62</v>
      </c>
      <c r="C24" s="1382"/>
      <c r="D24" s="1382"/>
      <c r="E24" s="1382"/>
      <c r="F24" s="1382"/>
      <c r="G24" s="1383"/>
      <c r="H24" s="24"/>
      <c r="I24" s="1381" t="s">
        <v>348</v>
      </c>
      <c r="J24" s="1382"/>
      <c r="K24" s="1382"/>
      <c r="L24" s="1382"/>
      <c r="M24" s="1382"/>
      <c r="N24" s="1382"/>
      <c r="O24" s="1382"/>
      <c r="P24" s="1382"/>
      <c r="Q24" s="1382"/>
      <c r="R24" s="1383"/>
    </row>
    <row r="25" spans="1:20" s="23" customFormat="1" ht="30" customHeight="1" thickBot="1" x14ac:dyDescent="0.3">
      <c r="A25" s="26"/>
      <c r="B25" s="884" t="s">
        <v>63</v>
      </c>
      <c r="C25" s="878"/>
      <c r="D25" s="1395" t="s">
        <v>1</v>
      </c>
      <c r="E25" s="1396"/>
      <c r="F25" s="1364" t="s">
        <v>0</v>
      </c>
      <c r="G25" s="1365"/>
      <c r="H25" s="24"/>
      <c r="I25" s="1423" t="s">
        <v>57</v>
      </c>
      <c r="J25" s="1436" t="s">
        <v>42</v>
      </c>
      <c r="K25" s="1436" t="s">
        <v>43</v>
      </c>
      <c r="L25" s="1436" t="s">
        <v>512</v>
      </c>
      <c r="M25" s="1438" t="s">
        <v>64</v>
      </c>
      <c r="N25" s="24"/>
      <c r="O25" s="1423" t="s">
        <v>65</v>
      </c>
      <c r="P25" s="1423" t="s">
        <v>66</v>
      </c>
      <c r="Q25" s="1423" t="s">
        <v>67</v>
      </c>
      <c r="R25" s="1425" t="s">
        <v>319</v>
      </c>
    </row>
    <row r="26" spans="1:20" s="23" customFormat="1" ht="30" customHeight="1" thickBot="1" x14ac:dyDescent="0.3">
      <c r="A26" s="596"/>
      <c r="B26" s="1506" t="s">
        <v>37</v>
      </c>
      <c r="C26" s="1507"/>
      <c r="D26" s="1384" t="e">
        <f>VLOOKUP($A$26,'DATOS @'!$B$24:$O$26,2,FALSE)</f>
        <v>#N/A</v>
      </c>
      <c r="E26" s="1385"/>
      <c r="F26" s="1388" t="e">
        <f>VLOOKUP($H$26,'DATOS @'!$B$14:$N$16,2,FALSE)</f>
        <v>#N/A</v>
      </c>
      <c r="G26" s="1389"/>
      <c r="H26" s="596"/>
      <c r="I26" s="1435"/>
      <c r="J26" s="1437"/>
      <c r="K26" s="1437"/>
      <c r="L26" s="1437"/>
      <c r="M26" s="1439"/>
      <c r="N26" s="24"/>
      <c r="O26" s="1424"/>
      <c r="P26" s="1424"/>
      <c r="Q26" s="1424"/>
      <c r="R26" s="1426"/>
    </row>
    <row r="27" spans="1:20" s="23" customFormat="1" ht="30" customHeight="1" thickBot="1" x14ac:dyDescent="0.3">
      <c r="A27" s="26"/>
      <c r="B27" s="1506" t="s">
        <v>38</v>
      </c>
      <c r="C27" s="1507"/>
      <c r="D27" s="1386" t="e">
        <f>VLOOKUP($A$26,'DATOS @'!$B$24:$O$26,3,FALSE)</f>
        <v>#N/A</v>
      </c>
      <c r="E27" s="1387"/>
      <c r="F27" s="1390" t="e">
        <f>VLOOKUP($H$26,'DATOS @'!$B$14:$N$16,3,FALSE)</f>
        <v>#N/A</v>
      </c>
      <c r="G27" s="1391"/>
      <c r="H27" s="24"/>
      <c r="I27" s="886"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506" t="s">
        <v>26</v>
      </c>
      <c r="C28" s="1507"/>
      <c r="D28" s="1386" t="e">
        <f>VLOOKUP($A$26,'DATOS @'!$B$24:$O$26,4,FALSE)</f>
        <v>#N/A</v>
      </c>
      <c r="E28" s="1387"/>
      <c r="F28" s="1392" t="e">
        <f>VLOOKUP($H$26,'DATOS @'!$B$14:$N$16,4,FALSE)</f>
        <v>#N/A</v>
      </c>
      <c r="G28" s="1393"/>
      <c r="H28" s="24"/>
      <c r="I28" s="886"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508" t="s">
        <v>73</v>
      </c>
      <c r="C29" s="1509"/>
      <c r="D29" s="879" t="e">
        <f>VLOOKUP($A$26,'DATOS @'!$B$24:$O$26,5,FALSE)</f>
        <v>#N/A</v>
      </c>
      <c r="E29" s="641" t="s">
        <v>3</v>
      </c>
      <c r="F29" s="641" t="e">
        <f>VLOOKUP($H$26,'DATOS @'!$B$14:$N$16,5,FALSE)</f>
        <v>#N/A</v>
      </c>
      <c r="G29" s="669" t="s">
        <v>3</v>
      </c>
      <c r="H29" s="24"/>
      <c r="I29" s="886"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508" t="s">
        <v>41</v>
      </c>
      <c r="C30" s="1509"/>
      <c r="D30" s="879" t="e">
        <f>VLOOKUP($A$26,'DATOS @'!$B$24:$O$26,6,FALSE)</f>
        <v>#N/A</v>
      </c>
      <c r="E30" s="641" t="s">
        <v>9</v>
      </c>
      <c r="F30" s="641" t="e">
        <f>VLOOKUP($H$26,'DATOS @'!$B$14:$N$16,6,FALSE)</f>
        <v>#N/A</v>
      </c>
      <c r="G30" s="669" t="s">
        <v>9</v>
      </c>
      <c r="H30" s="24"/>
      <c r="I30" s="886"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508" t="s">
        <v>75</v>
      </c>
      <c r="C31" s="1509"/>
      <c r="D31" s="879"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508" t="s">
        <v>36</v>
      </c>
      <c r="C32" s="1509"/>
      <c r="D32" s="879" t="e">
        <f>VLOOKUP($A$26,'DATOS @'!$B$24:$O$26,8,FALSE)</f>
        <v>#N/A</v>
      </c>
      <c r="E32" s="641" t="s">
        <v>4</v>
      </c>
      <c r="F32" s="641" t="e">
        <f>VLOOKUP($H$26,'DATOS @'!$B$14:$N$16,8,FALSE)</f>
        <v>#N/A</v>
      </c>
      <c r="G32" s="669" t="s">
        <v>4</v>
      </c>
      <c r="H32" s="24"/>
      <c r="R32" s="26"/>
      <c r="T32" s="675"/>
    </row>
    <row r="33" spans="1:25" s="23" customFormat="1" ht="45.95" customHeight="1" thickBot="1" x14ac:dyDescent="0.3">
      <c r="A33" s="26"/>
      <c r="B33" s="1508" t="s">
        <v>388</v>
      </c>
      <c r="C33" s="1509"/>
      <c r="D33" s="879" t="e">
        <f>VLOOKUP($A$26,'DATOS @'!$B$24:$O$26,9,FALSE)</f>
        <v>#N/A</v>
      </c>
      <c r="E33" s="641" t="s">
        <v>514</v>
      </c>
      <c r="F33" s="641" t="e">
        <f>VLOOKUP($H$26,'DATOS @'!$B$14:$N$16,9,FALSE)</f>
        <v>#N/A</v>
      </c>
      <c r="G33" s="669" t="s">
        <v>514</v>
      </c>
      <c r="H33" s="26"/>
      <c r="I33" s="1427" t="s">
        <v>71</v>
      </c>
      <c r="J33" s="1428"/>
      <c r="K33" s="1429"/>
      <c r="L33" s="1430"/>
      <c r="N33" s="1431" t="s">
        <v>72</v>
      </c>
      <c r="O33" s="1432"/>
      <c r="P33" s="1433"/>
      <c r="Q33" s="1434"/>
      <c r="R33" s="676"/>
      <c r="T33" s="675"/>
    </row>
    <row r="34" spans="1:25" s="23" customFormat="1" ht="30" customHeight="1" thickBot="1" x14ac:dyDescent="0.3">
      <c r="A34" s="26"/>
      <c r="B34" s="1508" t="s">
        <v>78</v>
      </c>
      <c r="C34" s="1509"/>
      <c r="D34" s="879" t="e">
        <f>VLOOKUP($A$26,'DATOS @'!$B$24:$O$26,10,FALSE)</f>
        <v>#N/A</v>
      </c>
      <c r="E34" s="641" t="s">
        <v>13</v>
      </c>
      <c r="F34" s="641" t="e">
        <f>VLOOKUP($H$26,'DATOS @'!$B$14:$N$16,10,FALSE)</f>
        <v>#N/A</v>
      </c>
      <c r="G34" s="669" t="s">
        <v>13</v>
      </c>
      <c r="H34" s="24"/>
    </row>
    <row r="35" spans="1:25" s="23" customFormat="1" ht="30" customHeight="1" thickBot="1" x14ac:dyDescent="0.3">
      <c r="A35" s="26"/>
      <c r="B35" s="1508" t="s">
        <v>79</v>
      </c>
      <c r="C35" s="1509"/>
      <c r="D35" s="879" t="e">
        <f>VLOOKUP($A$26,'DATOS @'!$B$24:$O$26,11,FALSE)</f>
        <v>#N/A</v>
      </c>
      <c r="E35" s="641" t="s">
        <v>13</v>
      </c>
      <c r="F35" s="641" t="e">
        <f>VLOOKUP($H$26,'DATOS @'!$B$14:$N$16,11,FALSE)</f>
        <v>#N/A</v>
      </c>
      <c r="G35" s="669" t="s">
        <v>13</v>
      </c>
      <c r="H35" s="24"/>
      <c r="I35" s="1381" t="s">
        <v>515</v>
      </c>
      <c r="J35" s="1382"/>
      <c r="K35" s="1382"/>
      <c r="L35" s="1382"/>
      <c r="M35" s="1382"/>
      <c r="N35" s="1382"/>
      <c r="O35" s="1382"/>
      <c r="P35" s="1382"/>
      <c r="Q35" s="245" t="s">
        <v>295</v>
      </c>
    </row>
    <row r="36" spans="1:25" s="23" customFormat="1" ht="45.95" customHeight="1" thickBot="1" x14ac:dyDescent="0.3">
      <c r="A36" s="26"/>
      <c r="B36" s="1508" t="s">
        <v>567</v>
      </c>
      <c r="C36" s="1509"/>
      <c r="D36" s="879" t="e">
        <f>VLOOKUP($A$26,'DATOS @'!$B$24:$O$26,12,FALSE)</f>
        <v>#N/A</v>
      </c>
      <c r="E36" s="641" t="s">
        <v>514</v>
      </c>
      <c r="F36" s="641" t="e">
        <f>D36</f>
        <v>#N/A</v>
      </c>
      <c r="G36" s="669" t="s">
        <v>514</v>
      </c>
      <c r="H36" s="24"/>
      <c r="I36" s="1413" t="s">
        <v>74</v>
      </c>
      <c r="J36" s="1414"/>
      <c r="K36" s="1415"/>
      <c r="L36" s="1416" t="s">
        <v>20</v>
      </c>
      <c r="M36" s="1417"/>
      <c r="N36" s="1418"/>
      <c r="O36" s="677" t="s">
        <v>21</v>
      </c>
      <c r="P36" s="678" t="s">
        <v>15</v>
      </c>
      <c r="Q36" s="596"/>
    </row>
    <row r="37" spans="1:25" s="23" customFormat="1" ht="45.95" customHeight="1" thickBot="1" x14ac:dyDescent="0.3">
      <c r="A37" s="26"/>
      <c r="B37" s="1510" t="s">
        <v>568</v>
      </c>
      <c r="C37" s="1511"/>
      <c r="D37" s="679" t="e">
        <f>K58</f>
        <v>#N/A</v>
      </c>
      <c r="E37" s="680" t="s">
        <v>514</v>
      </c>
      <c r="F37" s="681" t="e">
        <f>D37</f>
        <v>#N/A</v>
      </c>
      <c r="G37" s="682" t="s">
        <v>514</v>
      </c>
      <c r="H37" s="24"/>
      <c r="I37" s="1419" t="s">
        <v>309</v>
      </c>
      <c r="J37" s="1420"/>
      <c r="K37" s="13"/>
      <c r="L37" s="1419" t="s">
        <v>309</v>
      </c>
      <c r="M37" s="1420"/>
      <c r="N37" s="13"/>
      <c r="O37" s="239" t="e">
        <f>AVERAGE(K37,N37)</f>
        <v>#DIV/0!</v>
      </c>
      <c r="P37" s="240" t="e">
        <f>O37+((VLOOKUP($Q$36,'DATOS @'!$B$162:$O$168,9,FALSE))*O37+(VLOOKUP($Q$36,'DATOS @'!$B$162:$O$168,10,FALSE)))</f>
        <v>#DIV/0!</v>
      </c>
    </row>
    <row r="38" spans="1:25" s="23" customFormat="1" ht="39" customHeight="1" thickBot="1" x14ac:dyDescent="0.3">
      <c r="A38" s="26"/>
      <c r="B38" s="24"/>
      <c r="C38" s="24"/>
      <c r="D38" s="24"/>
      <c r="E38" s="24"/>
      <c r="F38" s="24"/>
      <c r="G38" s="24"/>
      <c r="H38" s="24"/>
      <c r="I38" s="1421" t="s">
        <v>501</v>
      </c>
      <c r="J38" s="1422"/>
      <c r="K38" s="13"/>
      <c r="L38" s="1421" t="s">
        <v>501</v>
      </c>
      <c r="M38" s="1422"/>
      <c r="N38" s="15"/>
      <c r="O38" s="10" t="e">
        <f>AVERAGE(K38,N38)</f>
        <v>#DIV/0!</v>
      </c>
      <c r="P38" s="240" t="e">
        <f>O38+((VLOOKUP($Q$36,'DATOS @'!$B$162:$O$168,11,FALSE))*O38+(VLOOKUP($Q$36,'DATOS @'!$B$162:$O$168,12,FALSE)))</f>
        <v>#DIV/0!</v>
      </c>
    </row>
    <row r="39" spans="1:25" s="23" customFormat="1" ht="30" customHeight="1" thickBot="1" x14ac:dyDescent="0.3">
      <c r="A39" s="26"/>
      <c r="B39" s="1446" t="s">
        <v>180</v>
      </c>
      <c r="C39" s="1396"/>
      <c r="D39" s="1447" t="e">
        <f>VLOOKUP(H39,'DATOS @'!P9:R13,2,FALSE)</f>
        <v>#N/A</v>
      </c>
      <c r="E39" s="1448"/>
      <c r="F39" s="1448"/>
      <c r="G39" s="1449"/>
      <c r="H39" s="596"/>
      <c r="I39" s="1450" t="s">
        <v>310</v>
      </c>
      <c r="J39" s="1451"/>
      <c r="K39" s="14"/>
      <c r="L39" s="1450" t="s">
        <v>310</v>
      </c>
      <c r="M39" s="1451"/>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441" t="s">
        <v>80</v>
      </c>
      <c r="C41" s="1442"/>
      <c r="D41" s="1442"/>
      <c r="E41" s="1442"/>
      <c r="F41" s="1442"/>
      <c r="G41" s="1442"/>
      <c r="H41" s="1442"/>
      <c r="I41" s="1442"/>
      <c r="J41" s="1442"/>
      <c r="K41" s="1442"/>
      <c r="L41" s="1442"/>
      <c r="M41" s="1442"/>
      <c r="N41" s="1443"/>
      <c r="Q41" s="1410" t="s">
        <v>248</v>
      </c>
      <c r="R41" s="1411"/>
      <c r="S41" s="1411"/>
      <c r="T41" s="1411"/>
      <c r="U41" s="1411"/>
      <c r="V41" s="1411"/>
      <c r="W41" s="1411"/>
      <c r="X41" s="1411"/>
      <c r="Y41" s="1412"/>
    </row>
    <row r="42" spans="1:25" s="24" customFormat="1" ht="27.75" customHeight="1" thickBot="1" x14ac:dyDescent="0.3">
      <c r="B42" s="1512" t="s">
        <v>478</v>
      </c>
      <c r="C42" s="1513"/>
      <c r="D42" s="1513"/>
      <c r="E42" s="1513"/>
      <c r="F42" s="1513"/>
      <c r="G42" s="1514"/>
      <c r="I42" s="1512" t="s">
        <v>479</v>
      </c>
      <c r="J42" s="1513"/>
      <c r="K42" s="1513"/>
      <c r="L42" s="1513"/>
      <c r="M42" s="1513"/>
      <c r="N42" s="1514"/>
      <c r="Q42" s="683"/>
      <c r="R42" s="684"/>
      <c r="S42" s="684"/>
      <c r="T42" s="684"/>
      <c r="U42" s="684"/>
      <c r="V42" s="684"/>
      <c r="W42" s="684"/>
      <c r="X42" s="684"/>
      <c r="Y42" s="685"/>
    </row>
    <row r="43" spans="1:25" s="23" customFormat="1" ht="54.75" customHeight="1" thickBot="1" x14ac:dyDescent="0.3">
      <c r="A43" s="596"/>
      <c r="B43" s="686" t="s">
        <v>81</v>
      </c>
      <c r="C43" s="888" t="s">
        <v>387</v>
      </c>
      <c r="D43" s="97" t="s">
        <v>386</v>
      </c>
      <c r="E43" s="97" t="s">
        <v>83</v>
      </c>
      <c r="F43" s="97" t="s">
        <v>84</v>
      </c>
      <c r="G43" s="98" t="s">
        <v>85</v>
      </c>
      <c r="H43" s="24"/>
      <c r="I43" s="883"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881"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431" t="s">
        <v>465</v>
      </c>
      <c r="C47" s="1440"/>
      <c r="D47" s="1440"/>
      <c r="E47" s="1440"/>
      <c r="F47" s="1432"/>
      <c r="G47" s="719" t="e">
        <f>AVERAGE(D44:D46)</f>
        <v>#N/A</v>
      </c>
      <c r="H47" s="24"/>
      <c r="I47" s="1431" t="s">
        <v>465</v>
      </c>
      <c r="J47" s="1440"/>
      <c r="K47" s="1440"/>
      <c r="L47" s="1440"/>
      <c r="M47" s="1432"/>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441" t="s">
        <v>445</v>
      </c>
      <c r="F53" s="1442"/>
      <c r="G53" s="1442"/>
      <c r="H53" s="1442"/>
      <c r="I53" s="1442"/>
      <c r="J53" s="1442"/>
      <c r="K53" s="1442"/>
      <c r="L53" s="1443"/>
      <c r="M53" s="26"/>
      <c r="N53" s="26"/>
      <c r="O53" s="26"/>
      <c r="P53" s="26"/>
      <c r="Q53" s="26"/>
    </row>
    <row r="54" spans="1:18" s="23" customFormat="1" ht="30" customHeight="1" thickBot="1" x14ac:dyDescent="0.3">
      <c r="A54" s="26"/>
      <c r="E54" s="1444" t="s">
        <v>81</v>
      </c>
      <c r="F54" s="1445"/>
      <c r="G54" s="19" t="s">
        <v>156</v>
      </c>
      <c r="H54" s="20" t="s">
        <v>157</v>
      </c>
      <c r="I54" s="24"/>
      <c r="J54" s="721"/>
      <c r="K54" s="309"/>
      <c r="L54" s="310"/>
      <c r="M54" s="26"/>
      <c r="N54" s="722" t="s">
        <v>4</v>
      </c>
      <c r="O54" s="1460" t="s">
        <v>87</v>
      </c>
      <c r="P54" s="723"/>
      <c r="Q54" s="724" t="e">
        <f>IF(R30&gt;=(N55)," AJUSTAR","NO AJUSTAR")</f>
        <v>#N/A</v>
      </c>
      <c r="R54" s="725"/>
    </row>
    <row r="55" spans="1:18" s="23" customFormat="1" ht="30" customHeight="1" thickBot="1" x14ac:dyDescent="0.3">
      <c r="A55" s="26"/>
      <c r="E55" s="1462">
        <v>1</v>
      </c>
      <c r="F55" s="1463"/>
      <c r="G55" s="726" t="e">
        <f>$C$7*((1-$D$33*($D$29-D44))+($K$55)*(J44-D44)+$F$33*($F$29-J44))</f>
        <v>#N/A</v>
      </c>
      <c r="H55" s="671" t="e">
        <f>G55+N44</f>
        <v>#N/A</v>
      </c>
      <c r="I55" s="24"/>
      <c r="J55" s="886">
        <v>1</v>
      </c>
      <c r="K55" s="727" t="e">
        <f>(-0.1176*((D44+J44)/2)^2+(15.846*(D44+J44)/2)-62.677)*10^-6</f>
        <v>#N/A</v>
      </c>
      <c r="L55" s="106" t="s">
        <v>514</v>
      </c>
      <c r="M55" s="24"/>
      <c r="N55" s="728">
        <v>8.1940000000000008</v>
      </c>
      <c r="O55" s="1461"/>
      <c r="P55" s="729"/>
      <c r="Q55" s="730" t="e">
        <f>Q30</f>
        <v>#N/A</v>
      </c>
      <c r="R55" s="729"/>
    </row>
    <row r="56" spans="1:18" s="23" customFormat="1" ht="30" customHeight="1" thickBot="1" x14ac:dyDescent="0.3">
      <c r="A56" s="26"/>
      <c r="E56" s="1462">
        <v>2</v>
      </c>
      <c r="F56" s="1463"/>
      <c r="G56" s="726" t="e">
        <f>$C$7*((1-$D$33*($D$29-D45))+($K$56)*(J45-D45)+$F$33*($F$29-J45))</f>
        <v>#N/A</v>
      </c>
      <c r="H56" s="671" t="e">
        <f>G56+N45</f>
        <v>#N/A</v>
      </c>
      <c r="I56" s="24"/>
      <c r="J56" s="886">
        <v>2</v>
      </c>
      <c r="K56" s="727" t="e">
        <f>(-0.1176*((D45+J45)/2)^2+(15.846*(D45+J45)/2)-62.677)*10^-6</f>
        <v>#N/A</v>
      </c>
      <c r="L56" s="106" t="s">
        <v>514</v>
      </c>
      <c r="N56" s="731" t="s">
        <v>219</v>
      </c>
      <c r="O56" s="1464" t="s">
        <v>516</v>
      </c>
      <c r="P56" s="732"/>
      <c r="Q56" s="733" t="e">
        <f>IF(R28&gt;=(N57)," AJUSTAR","NO AJUSTAR")</f>
        <v>#N/A</v>
      </c>
      <c r="R56" s="734"/>
    </row>
    <row r="57" spans="1:18" s="23" customFormat="1" ht="30" customHeight="1" thickBot="1" x14ac:dyDescent="0.3">
      <c r="A57" s="26"/>
      <c r="E57" s="1462">
        <v>3</v>
      </c>
      <c r="F57" s="1463"/>
      <c r="G57" s="726" t="e">
        <f>$C$7*((1-$D$33*($D$29-D46))+($K$57)*(J46-D46)+$F$33*($F$29-J46))</f>
        <v>#N/A</v>
      </c>
      <c r="H57" s="671" t="e">
        <f>G57+N46</f>
        <v>#N/A</v>
      </c>
      <c r="I57" s="24"/>
      <c r="J57" s="886">
        <v>3</v>
      </c>
      <c r="K57" s="727" t="e">
        <f>(-0.1176*((D46+J46)/2)^2+(15.846*(D46+J46)/2)-62.677)*10^-6</f>
        <v>#N/A</v>
      </c>
      <c r="L57" s="106" t="s">
        <v>514</v>
      </c>
      <c r="N57" s="735">
        <v>0.5</v>
      </c>
      <c r="O57" s="1461"/>
      <c r="P57" s="736"/>
      <c r="Q57" s="737" t="e">
        <f>Q28</f>
        <v>#N/A</v>
      </c>
      <c r="R57" s="738"/>
    </row>
    <row r="58" spans="1:18" s="23" customFormat="1" ht="30" customHeight="1" thickBot="1" x14ac:dyDescent="0.3">
      <c r="A58" s="26"/>
      <c r="E58" s="1452" t="s">
        <v>517</v>
      </c>
      <c r="F58" s="1453"/>
      <c r="G58" s="1454"/>
      <c r="H58" s="671" t="e">
        <f>AVERAGE(H55:H57)</f>
        <v>#N/A</v>
      </c>
      <c r="J58" s="1" t="s">
        <v>2</v>
      </c>
      <c r="K58" s="739" t="e">
        <f>AVERAGE(K55:K57)</f>
        <v>#N/A</v>
      </c>
      <c r="L58" s="740" t="s">
        <v>514</v>
      </c>
    </row>
    <row r="59" spans="1:18" s="23" customFormat="1" ht="30" customHeight="1" x14ac:dyDescent="0.25">
      <c r="A59" s="26"/>
      <c r="E59" s="1452" t="s">
        <v>518</v>
      </c>
      <c r="F59" s="1453"/>
      <c r="G59" s="1454"/>
      <c r="H59" s="741" t="e">
        <f>_xlfn.STDEV.S(H55:H57)</f>
        <v>#N/A</v>
      </c>
      <c r="I59" s="26"/>
    </row>
    <row r="60" spans="1:18" s="23" customFormat="1" ht="30" customHeight="1" thickBot="1" x14ac:dyDescent="0.3">
      <c r="A60" s="26"/>
      <c r="B60" s="24"/>
      <c r="E60" s="1455" t="s">
        <v>88</v>
      </c>
      <c r="F60" s="1456"/>
      <c r="G60" s="1457"/>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887"/>
      <c r="J62" s="889"/>
      <c r="K62" s="889"/>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441" t="s">
        <v>89</v>
      </c>
      <c r="C64" s="1442"/>
      <c r="D64" s="1442"/>
      <c r="E64" s="1442"/>
      <c r="F64" s="1442"/>
      <c r="G64" s="1442"/>
      <c r="H64" s="1442"/>
      <c r="I64" s="1442"/>
      <c r="J64" s="1442"/>
      <c r="K64" s="1442"/>
      <c r="L64" s="1443"/>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883" t="s">
        <v>57</v>
      </c>
      <c r="O65" s="97" t="s">
        <v>1</v>
      </c>
      <c r="P65" s="98" t="s">
        <v>0</v>
      </c>
      <c r="Q65" s="26"/>
      <c r="R65" s="26"/>
    </row>
    <row r="66" spans="1:18" s="24" customFormat="1" ht="30" customHeight="1" thickBot="1" x14ac:dyDescent="0.3">
      <c r="B66" s="1458" t="s">
        <v>181</v>
      </c>
      <c r="C66" s="1459"/>
      <c r="D66" s="1459"/>
      <c r="E66" s="885"/>
      <c r="F66" s="885"/>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458" t="s">
        <v>182</v>
      </c>
      <c r="C68" s="1459"/>
      <c r="D68" s="1459"/>
      <c r="E68" s="1459"/>
      <c r="F68" s="885"/>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458" t="s">
        <v>183</v>
      </c>
      <c r="C70" s="1459"/>
      <c r="D70" s="1459"/>
      <c r="E70" s="1459"/>
      <c r="F70" s="885"/>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458" t="s">
        <v>569</v>
      </c>
      <c r="C72" s="1459"/>
      <c r="D72" s="1459"/>
      <c r="E72" s="1459"/>
      <c r="F72" s="1459"/>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458" t="s">
        <v>570</v>
      </c>
      <c r="C74" s="1459"/>
      <c r="D74" s="1459"/>
      <c r="E74" s="1459"/>
      <c r="F74" s="1459"/>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458" t="s">
        <v>571</v>
      </c>
      <c r="C76" s="1459"/>
      <c r="D76" s="1459"/>
      <c r="E76" s="1459"/>
      <c r="F76" s="1459"/>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458" t="s">
        <v>91</v>
      </c>
      <c r="C78" s="1459"/>
      <c r="D78" s="1459"/>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458" t="s">
        <v>92</v>
      </c>
      <c r="C80" s="1459"/>
      <c r="D80" s="1459"/>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458" t="s">
        <v>93</v>
      </c>
      <c r="C82" s="1459"/>
      <c r="D82" s="1459"/>
      <c r="E82" s="885"/>
      <c r="F82" s="885"/>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441" t="s">
        <v>94</v>
      </c>
      <c r="C86" s="1442"/>
      <c r="D86" s="1442"/>
      <c r="E86" s="1442"/>
      <c r="F86" s="1442"/>
      <c r="G86" s="1442"/>
      <c r="H86" s="1442"/>
      <c r="I86" s="1442"/>
      <c r="J86" s="1442"/>
      <c r="K86" s="1442"/>
      <c r="L86" s="1442"/>
      <c r="M86" s="1442"/>
      <c r="N86" s="1442"/>
      <c r="O86" s="1442"/>
      <c r="P86" s="1442"/>
      <c r="Q86" s="1443"/>
    </row>
    <row r="87" spans="1:18" s="23" customFormat="1" ht="44.25" customHeight="1" thickBot="1" x14ac:dyDescent="0.3">
      <c r="B87" s="1431" t="s">
        <v>95</v>
      </c>
      <c r="C87" s="1474"/>
      <c r="D87" s="97" t="s">
        <v>158</v>
      </c>
      <c r="E87" s="97" t="s">
        <v>96</v>
      </c>
      <c r="F87" s="97"/>
      <c r="G87" s="332"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475" t="s">
        <v>104</v>
      </c>
      <c r="C88" s="1476"/>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472" t="s">
        <v>105</v>
      </c>
      <c r="C89" s="1473"/>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465"/>
      <c r="B90" s="1466" t="s">
        <v>107</v>
      </c>
      <c r="C90" s="1467"/>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465"/>
      <c r="B91" s="1468"/>
      <c r="C91" s="1469"/>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470" t="s">
        <v>184</v>
      </c>
      <c r="C92" s="1471"/>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472" t="s">
        <v>185</v>
      </c>
      <c r="C93" s="1473"/>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472" t="s">
        <v>186</v>
      </c>
      <c r="C94" s="1473"/>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466" t="s">
        <v>187</v>
      </c>
      <c r="C95" s="1467"/>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470" t="s">
        <v>108</v>
      </c>
      <c r="C97" s="1471"/>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472" t="s">
        <v>109</v>
      </c>
      <c r="C98" s="1473"/>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472" t="s">
        <v>110</v>
      </c>
      <c r="C99" s="1473"/>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472" t="s">
        <v>107</v>
      </c>
      <c r="C100" s="1473"/>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472" t="s">
        <v>111</v>
      </c>
      <c r="C101" s="1473"/>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472" t="s">
        <v>112</v>
      </c>
      <c r="C102" s="1473"/>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472" t="s">
        <v>109</v>
      </c>
      <c r="C103" s="1473"/>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477" t="s">
        <v>110</v>
      </c>
      <c r="C104" s="1478"/>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477" t="s">
        <v>107</v>
      </c>
      <c r="C105" s="1478"/>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477" t="s">
        <v>111</v>
      </c>
      <c r="C106" s="1478"/>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39.950000000000003" customHeight="1" x14ac:dyDescent="0.25">
      <c r="A107" s="24"/>
      <c r="B107" s="1477" t="s">
        <v>165</v>
      </c>
      <c r="C107" s="1478"/>
      <c r="D107" s="808" t="e">
        <f>D37</f>
        <v>#N/A</v>
      </c>
      <c r="E107" s="809" t="e">
        <f>D37</f>
        <v>#N/A</v>
      </c>
      <c r="F107" s="780" t="s">
        <v>10</v>
      </c>
      <c r="G107" s="175"/>
      <c r="H107" s="175"/>
      <c r="I107" s="175"/>
      <c r="J107" s="805"/>
      <c r="K107" s="175"/>
      <c r="L107" s="175"/>
      <c r="M107" s="175"/>
      <c r="N107" s="175"/>
      <c r="O107" s="175"/>
      <c r="P107" s="175"/>
      <c r="Q107" s="786"/>
      <c r="R107" s="26"/>
    </row>
    <row r="108" spans="1:90" s="773" customFormat="1" ht="45.95" customHeight="1" x14ac:dyDescent="0.25">
      <c r="A108" s="24"/>
      <c r="B108" s="1477" t="s">
        <v>389</v>
      </c>
      <c r="C108" s="1478"/>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477" t="s">
        <v>388</v>
      </c>
      <c r="C109" s="1478"/>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477" t="s">
        <v>388</v>
      </c>
      <c r="C110" s="1478"/>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485" t="s">
        <v>388</v>
      </c>
      <c r="C111" s="1486"/>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487" t="s">
        <v>116</v>
      </c>
      <c r="C113" s="1488"/>
      <c r="D113" s="1488"/>
      <c r="E113" s="1488"/>
      <c r="F113" s="1488"/>
      <c r="G113" s="1488"/>
      <c r="H113" s="1488"/>
      <c r="I113" s="1488"/>
      <c r="J113" s="1488"/>
      <c r="K113" s="1488"/>
      <c r="L113" s="1488"/>
      <c r="M113" s="1488"/>
      <c r="N113" s="1488"/>
      <c r="O113" s="1488"/>
      <c r="P113" s="1488"/>
      <c r="Q113" s="1489"/>
      <c r="R113" s="26"/>
    </row>
    <row r="114" spans="1:31" s="23" customFormat="1" ht="30" customHeight="1" x14ac:dyDescent="0.25">
      <c r="A114" s="24"/>
      <c r="B114" s="1490" t="s">
        <v>117</v>
      </c>
      <c r="C114" s="1491"/>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492" t="s">
        <v>118</v>
      </c>
      <c r="C115" s="1493"/>
      <c r="D115" s="825"/>
      <c r="E115" s="1177"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492" t="s">
        <v>119</v>
      </c>
      <c r="C116" s="1493"/>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494" t="s">
        <v>121</v>
      </c>
      <c r="C117" s="1495"/>
      <c r="D117" s="829"/>
      <c r="E117" s="1178" t="e">
        <f>C121*0.01%</f>
        <v>#N/A</v>
      </c>
      <c r="F117" s="435" t="s">
        <v>4</v>
      </c>
      <c r="G117" s="830">
        <v>1</v>
      </c>
      <c r="H117" s="435" t="e">
        <f t="shared" si="5"/>
        <v>#N/A</v>
      </c>
      <c r="I117" s="435" t="s">
        <v>4</v>
      </c>
      <c r="J117" s="435">
        <v>1</v>
      </c>
      <c r="K117" s="435"/>
      <c r="L117" s="435" t="e">
        <f t="shared" si="6"/>
        <v>#N/A</v>
      </c>
      <c r="M117" s="435" t="s">
        <v>4</v>
      </c>
      <c r="N117" s="831" t="e">
        <f t="shared" si="7"/>
        <v>#N/A</v>
      </c>
      <c r="O117" s="435" t="s">
        <v>122</v>
      </c>
      <c r="P117" s="435" t="s">
        <v>106</v>
      </c>
      <c r="Q117" s="875"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441" t="s">
        <v>124</v>
      </c>
      <c r="C119" s="1442"/>
      <c r="D119" s="1442"/>
      <c r="E119" s="1442"/>
      <c r="F119" s="1442"/>
      <c r="G119" s="1442"/>
      <c r="H119" s="1442"/>
      <c r="I119" s="1442"/>
      <c r="J119" s="1443"/>
      <c r="K119" s="24"/>
      <c r="L119" s="1479" t="s">
        <v>123</v>
      </c>
      <c r="M119" s="1480"/>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481" t="s">
        <v>399</v>
      </c>
      <c r="M120" s="1482"/>
      <c r="N120" s="143" t="e">
        <f>(N118^4)/((L89^4/Q89)+(L99^4/Q99)+(L104^4/Q104)+(L93^4/Q93)+(L116^4/Q116))</f>
        <v>#N/A</v>
      </c>
      <c r="O120" s="24"/>
    </row>
    <row r="121" spans="1:31" s="23" customFormat="1" ht="30" customHeight="1" thickBot="1" x14ac:dyDescent="0.3">
      <c r="A121" s="26"/>
      <c r="B121" s="839" t="s">
        <v>4</v>
      </c>
      <c r="C121" s="840" t="e">
        <f>H58</f>
        <v>#N/A</v>
      </c>
      <c r="D121" s="841" t="e">
        <f>N118</f>
        <v>#N/A</v>
      </c>
      <c r="E121" s="1496">
        <v>2</v>
      </c>
      <c r="F121" s="842" t="e">
        <f>(D121*E121)</f>
        <v>#N/A</v>
      </c>
      <c r="G121" s="1499">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497"/>
      <c r="F122" s="848" t="e">
        <f>D122*E121</f>
        <v>#N/A</v>
      </c>
      <c r="G122" s="1500"/>
      <c r="H122" s="849" t="e">
        <f>H121/L30</f>
        <v>#N/A</v>
      </c>
      <c r="I122" s="657" t="e">
        <f>ABS(H122)</f>
        <v>#N/A</v>
      </c>
      <c r="J122" s="760" t="e">
        <f>F122*I122</f>
        <v>#N/A</v>
      </c>
      <c r="K122" s="26"/>
      <c r="M122" s="1483" t="s">
        <v>97</v>
      </c>
      <c r="N122" s="1484"/>
      <c r="O122" s="26"/>
      <c r="P122" s="338">
        <v>0.3</v>
      </c>
      <c r="Q122" s="850">
        <v>1.65</v>
      </c>
    </row>
    <row r="123" spans="1:31" s="24" customFormat="1" ht="36.75" customHeight="1" thickBot="1" x14ac:dyDescent="0.3">
      <c r="B123" s="847" t="s">
        <v>9</v>
      </c>
      <c r="C123" s="851" t="e">
        <f>C122/L27</f>
        <v>#N/A</v>
      </c>
      <c r="D123" s="852" t="e">
        <f>D122/L27</f>
        <v>#N/A</v>
      </c>
      <c r="E123" s="1497"/>
      <c r="F123" s="853" t="e">
        <f>D123*E121</f>
        <v>#N/A</v>
      </c>
      <c r="G123" s="1500"/>
      <c r="H123" s="854" t="e">
        <f>H122/L27</f>
        <v>#N/A</v>
      </c>
      <c r="I123" s="855" t="e">
        <f>ABS(H123)</f>
        <v>#N/A</v>
      </c>
      <c r="J123" s="856" t="e">
        <f>F123*I123</f>
        <v>#N/A</v>
      </c>
      <c r="M123" s="857" t="e">
        <f>_xlfn.T.INV.2T(0.05,N120)</f>
        <v>#N/A</v>
      </c>
      <c r="N123" s="858" t="e">
        <f>TINV(0.05,N120)</f>
        <v>#N/A</v>
      </c>
      <c r="P123" s="1502" t="s">
        <v>354</v>
      </c>
      <c r="Q123" s="1503"/>
      <c r="R123" s="1504"/>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498"/>
      <c r="F124" s="863" t="e">
        <f>(D124*E121)</f>
        <v>#N/A</v>
      </c>
      <c r="G124" s="1501"/>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360"/>
      <c r="W124" s="1360"/>
      <c r="X124" s="1360"/>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359"/>
      <c r="W125" s="1359"/>
      <c r="X125" s="1359"/>
    </row>
  </sheetData>
  <sheetProtection password="CF5C" sheet="1" objects="1" scenarios="1"/>
  <mergeCells count="139">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6:Q86"/>
    <mergeCell ref="B87:C87"/>
    <mergeCell ref="B64:L64"/>
    <mergeCell ref="B66:D66"/>
    <mergeCell ref="B68:E68"/>
    <mergeCell ref="B70:E70"/>
    <mergeCell ref="B72:F72"/>
    <mergeCell ref="B74:F74"/>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K33:L33"/>
    <mergeCell ref="N33:O33"/>
    <mergeCell ref="P33:Q33"/>
    <mergeCell ref="B34:C34"/>
    <mergeCell ref="B35:C35"/>
    <mergeCell ref="I35:P35"/>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O19:O20"/>
    <mergeCell ref="P19:P20"/>
    <mergeCell ref="S19:S20"/>
    <mergeCell ref="B24:G24"/>
    <mergeCell ref="I24:R24"/>
    <mergeCell ref="H19:H20"/>
    <mergeCell ref="I19:I20"/>
    <mergeCell ref="J19:J20"/>
    <mergeCell ref="K19:K20"/>
    <mergeCell ref="L19:L20"/>
    <mergeCell ref="M19:M20"/>
    <mergeCell ref="A8:A12"/>
    <mergeCell ref="A13:A17"/>
    <mergeCell ref="B19:B20"/>
    <mergeCell ref="C19:C20"/>
    <mergeCell ref="D19:D20"/>
    <mergeCell ref="E19:E20"/>
    <mergeCell ref="F19:F20"/>
    <mergeCell ref="G19:G20"/>
    <mergeCell ref="N19:N20"/>
    <mergeCell ref="A1:B1"/>
    <mergeCell ref="D1:R1"/>
    <mergeCell ref="D3:E3"/>
    <mergeCell ref="G3:H3"/>
    <mergeCell ref="J3:K3"/>
    <mergeCell ref="M3:N3"/>
    <mergeCell ref="P3:R3"/>
    <mergeCell ref="A5:R5"/>
    <mergeCell ref="Q6:R6"/>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2:F11"/>
  <sheetViews>
    <sheetView showGridLines="0" workbookViewId="0">
      <selection activeCell="G20" sqref="G20"/>
    </sheetView>
  </sheetViews>
  <sheetFormatPr baseColWidth="10" defaultRowHeight="15" x14ac:dyDescent="0.25"/>
  <sheetData>
    <row r="2" spans="2:6" ht="15.75" thickBot="1" x14ac:dyDescent="0.3">
      <c r="B2" s="1183" t="s">
        <v>612</v>
      </c>
      <c r="C2" s="1521">
        <v>43798</v>
      </c>
      <c r="D2" s="1521"/>
      <c r="E2" s="1521"/>
    </row>
    <row r="3" spans="2:6" ht="15.75" x14ac:dyDescent="0.25">
      <c r="B3" s="1515" t="s">
        <v>270</v>
      </c>
      <c r="C3" s="1516"/>
      <c r="D3" s="1516"/>
      <c r="E3" s="1517"/>
      <c r="F3" s="434"/>
    </row>
    <row r="4" spans="2:6" ht="15.75" x14ac:dyDescent="0.25">
      <c r="B4" s="1518" t="s">
        <v>249</v>
      </c>
      <c r="C4" s="1519"/>
      <c r="D4" s="1519"/>
      <c r="E4" s="1520"/>
      <c r="F4" s="434"/>
    </row>
    <row r="5" spans="2:6" ht="15.75" x14ac:dyDescent="0.25">
      <c r="B5" s="1016">
        <v>18501</v>
      </c>
      <c r="C5" s="1017" t="s">
        <v>250</v>
      </c>
      <c r="D5" s="1017">
        <v>19336.599999999999</v>
      </c>
      <c r="E5" s="1018" t="s">
        <v>4</v>
      </c>
      <c r="F5" s="145"/>
    </row>
    <row r="6" spans="2:6" ht="18" x14ac:dyDescent="0.25">
      <c r="B6" s="1019">
        <v>1128.29</v>
      </c>
      <c r="C6" s="1017" t="s">
        <v>250</v>
      </c>
      <c r="D6" s="1017">
        <v>1179.99</v>
      </c>
      <c r="E6" s="1018" t="s">
        <v>579</v>
      </c>
      <c r="F6" s="148"/>
    </row>
    <row r="7" spans="2:6" ht="16.5" thickBot="1" x14ac:dyDescent="0.3">
      <c r="B7" s="1019">
        <v>4.8917000000000002</v>
      </c>
      <c r="C7" s="1017" t="s">
        <v>250</v>
      </c>
      <c r="D7" s="1017">
        <v>5.1082000000000001</v>
      </c>
      <c r="E7" s="1018" t="s">
        <v>9</v>
      </c>
      <c r="F7" s="148"/>
    </row>
    <row r="8" spans="2:6" ht="19.5" thickBot="1" x14ac:dyDescent="0.3">
      <c r="B8" s="903" t="s">
        <v>208</v>
      </c>
      <c r="C8" s="902" t="s">
        <v>4</v>
      </c>
      <c r="D8" s="902" t="s">
        <v>510</v>
      </c>
      <c r="E8" s="904" t="s">
        <v>9</v>
      </c>
      <c r="F8" s="876" t="s">
        <v>288</v>
      </c>
    </row>
    <row r="9" spans="2:6" ht="16.5" thickBot="1" x14ac:dyDescent="0.3">
      <c r="B9" s="557"/>
      <c r="C9" s="1020"/>
      <c r="D9" s="1020"/>
      <c r="E9" s="1021"/>
      <c r="F9" s="1022"/>
    </row>
    <row r="10" spans="2:6" ht="15.75" thickBot="1" x14ac:dyDescent="0.3">
      <c r="B10" s="1019">
        <v>1</v>
      </c>
      <c r="C10" s="1023">
        <v>4.5999999999999996</v>
      </c>
      <c r="D10" s="1017">
        <v>0.28000000000000003</v>
      </c>
      <c r="E10" s="1018">
        <v>1.1999999999999999E-3</v>
      </c>
      <c r="F10" s="1024">
        <f>C10/100</f>
        <v>4.5999999999999999E-2</v>
      </c>
    </row>
    <row r="11" spans="2:6" ht="15.75" thickBot="1" x14ac:dyDescent="0.3">
      <c r="B11" s="1025"/>
      <c r="C11" s="1026"/>
      <c r="D11" s="1027"/>
      <c r="E11" s="1028"/>
      <c r="F11" s="1029"/>
    </row>
  </sheetData>
  <sheetProtection password="CF5C" sheet="1" objects="1" scenarios="1"/>
  <mergeCells count="3">
    <mergeCell ref="B3:E3"/>
    <mergeCell ref="B4:E4"/>
    <mergeCell ref="C2:E2"/>
  </mergeCells>
  <pageMargins left="0.70866141732283472" right="0.70866141732283472" top="0.74803149606299213" bottom="0.74803149606299213" header="0.31496062992125984" footer="0.31496062992125984"/>
  <pageSetup orientation="portrait" r:id="rId1"/>
  <headerFooter>
    <oddFooter>&amp;RRT03-F11 Vr.8 (2020-04-27)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K42"/>
  <sheetViews>
    <sheetView showGridLines="0" zoomScaleNormal="100" workbookViewId="0">
      <selection activeCell="A13" sqref="A13:E13"/>
    </sheetView>
  </sheetViews>
  <sheetFormatPr baseColWidth="10" defaultRowHeight="15" x14ac:dyDescent="0.2"/>
  <cols>
    <col min="1" max="11" width="18.7109375" style="412" customWidth="1"/>
    <col min="12" max="16384" width="11.42578125" style="412"/>
  </cols>
  <sheetData>
    <row r="1" spans="1:11" ht="15.75" thickBot="1" x14ac:dyDescent="0.25"/>
    <row r="2" spans="1:11" ht="15" customHeight="1" x14ac:dyDescent="0.2">
      <c r="A2" s="1522" t="s">
        <v>577</v>
      </c>
      <c r="B2" s="1523"/>
      <c r="C2" s="1523"/>
      <c r="D2" s="1523"/>
      <c r="E2" s="1523"/>
      <c r="F2" s="1523"/>
      <c r="G2" s="1523"/>
      <c r="H2" s="1523"/>
      <c r="I2" s="1523"/>
      <c r="J2" s="1523"/>
      <c r="K2" s="1523"/>
    </row>
    <row r="3" spans="1:11" ht="23.25" customHeight="1" thickBot="1" x14ac:dyDescent="0.25">
      <c r="A3" s="1524"/>
      <c r="B3" s="1525"/>
      <c r="C3" s="1525"/>
      <c r="D3" s="1525"/>
      <c r="E3" s="1525"/>
      <c r="F3" s="1525"/>
      <c r="G3" s="1525"/>
      <c r="H3" s="1525"/>
      <c r="I3" s="1525"/>
      <c r="J3" s="1525"/>
      <c r="K3" s="1525"/>
    </row>
    <row r="4" spans="1:11" s="414" customFormat="1" ht="23.25" customHeight="1" thickBot="1" x14ac:dyDescent="0.25">
      <c r="A4" s="1006"/>
      <c r="B4" s="1007"/>
      <c r="C4" s="1007"/>
      <c r="D4" s="1007"/>
      <c r="E4" s="1007"/>
      <c r="F4" s="413"/>
      <c r="G4" s="413"/>
      <c r="H4" s="1008"/>
      <c r="I4" s="1008"/>
      <c r="J4" s="413"/>
      <c r="K4" s="413"/>
    </row>
    <row r="5" spans="1:11" s="415" customFormat="1" ht="30" customHeight="1" thickBot="1" x14ac:dyDescent="0.3">
      <c r="A5" s="1526" t="s">
        <v>498</v>
      </c>
      <c r="B5" s="1527"/>
      <c r="C5" s="1527"/>
      <c r="D5" s="1527"/>
      <c r="E5" s="1528"/>
      <c r="F5" s="1009"/>
      <c r="G5" s="424"/>
      <c r="H5" s="1010"/>
      <c r="I5" s="1010"/>
      <c r="J5" s="958"/>
      <c r="K5" s="424"/>
    </row>
    <row r="6" spans="1:11" s="415" customFormat="1" ht="30" customHeight="1" thickBot="1" x14ac:dyDescent="0.3">
      <c r="A6" s="1013" t="s">
        <v>495</v>
      </c>
      <c r="B6" s="1011" t="s">
        <v>578</v>
      </c>
      <c r="C6" s="1011" t="s">
        <v>3</v>
      </c>
      <c r="D6" s="1011" t="s">
        <v>539</v>
      </c>
      <c r="E6" s="1012" t="s">
        <v>16</v>
      </c>
      <c r="F6" s="1009"/>
      <c r="G6" s="419"/>
      <c r="H6" s="1008"/>
      <c r="I6" s="1008"/>
      <c r="J6" s="958"/>
      <c r="K6" s="419"/>
    </row>
    <row r="7" spans="1:11" s="415" customFormat="1" ht="32.1" customHeight="1" thickBot="1" x14ac:dyDescent="0.3">
      <c r="A7" s="1531"/>
      <c r="B7" s="1003" t="s">
        <v>496</v>
      </c>
      <c r="C7" s="1005"/>
      <c r="D7" s="1005"/>
      <c r="E7" s="1171"/>
      <c r="F7" s="1009"/>
      <c r="G7" s="425"/>
      <c r="H7" s="422"/>
      <c r="I7" s="423"/>
      <c r="J7" s="423"/>
      <c r="K7" s="423"/>
    </row>
    <row r="8" spans="1:11" s="415" customFormat="1" ht="32.1" customHeight="1" thickBot="1" x14ac:dyDescent="0.3">
      <c r="A8" s="1531"/>
      <c r="B8" s="1004" t="s">
        <v>497</v>
      </c>
      <c r="C8" s="1175"/>
      <c r="D8" s="1175"/>
      <c r="E8" s="1176"/>
      <c r="F8" s="1009"/>
      <c r="G8" s="425"/>
      <c r="H8" s="422"/>
      <c r="I8" s="423"/>
      <c r="J8" s="423"/>
      <c r="K8" s="423"/>
    </row>
    <row r="9" spans="1:11" s="415" customFormat="1" ht="32.1" customHeight="1" x14ac:dyDescent="0.25">
      <c r="A9" s="1531"/>
      <c r="B9" s="1174" t="s">
        <v>499</v>
      </c>
      <c r="C9" s="1014" t="e">
        <f>D7+((VLOOKUP('RT03-F11 @ '!$Q$36,'DATOS @'!$B$162:$O$168,9,FALSE))*D7+(VLOOKUP('RT03-F11 @ '!$Q$36,'DATOS @'!$B$162:$O$168,10,FALSE)))</f>
        <v>#N/A</v>
      </c>
      <c r="D9" s="1014" t="e">
        <f>#REF!+((VLOOKUP('RT03-F11 @ '!$Q$36,'DATOS @'!$B$162:$O$168,11,FALSE))*#REF!+(VLOOKUP('RT03-F11 @ '!$Q$36,'DATOS @'!$B$162:$O$168,12,FALSE)))</f>
        <v>#REF!</v>
      </c>
      <c r="E9" s="1015" t="e">
        <f>#REF!+((VLOOKUP('RT03-F11 @ '!$Q$36,'DATOS @'!$B$162:$O$168,13,FALSE))*#REF!+(VLOOKUP('RT03-F11 @ '!$Q$36,'DATOS @'!$B$162:$O$168,14,FALSE)))</f>
        <v>#REF!</v>
      </c>
      <c r="F9" s="1009"/>
      <c r="G9" s="425"/>
      <c r="H9" s="420"/>
      <c r="I9" s="421"/>
      <c r="J9" s="421"/>
      <c r="K9" s="421"/>
    </row>
    <row r="10" spans="1:11" s="415" customFormat="1" ht="32.1" customHeight="1" thickBot="1" x14ac:dyDescent="0.3">
      <c r="A10" s="1532"/>
      <c r="B10" s="1004" t="s">
        <v>500</v>
      </c>
      <c r="C10" s="1172" t="e">
        <f>D8+((VLOOKUP('RT03-F11 @ '!$Q$36,'DATOS @'!$B$162:$O$168,9,FALSE))*D8+(VLOOKUP('RT03-F11 @ '!$Q$36,'DATOS @'!$B$162:$O$168,10,FALSE)))</f>
        <v>#N/A</v>
      </c>
      <c r="D10" s="1172" t="e">
        <f>#REF!+((VLOOKUP('RT03-F11 @ '!$Q$36,'DATOS @'!$B$162:$O$168,11,FALSE))*#REF!+(VLOOKUP('RT03-F11 @ '!$Q$36,'DATOS @'!$B$162:$O$168,12,FALSE)))</f>
        <v>#REF!</v>
      </c>
      <c r="E10" s="1173" t="e">
        <f>#REF!+((VLOOKUP('RT03-F11 @ '!$Q$36,'DATOS @'!$B$162:$O$168,13,FALSE))*#REF!+(VLOOKUP('RT03-F11 @ '!$Q$36,'DATOS @'!$B$162:$O$168,14,FALSE)))</f>
        <v>#REF!</v>
      </c>
      <c r="F10" s="1009"/>
      <c r="G10" s="425"/>
      <c r="H10" s="420"/>
      <c r="I10" s="421"/>
      <c r="J10" s="421"/>
      <c r="K10" s="421"/>
    </row>
    <row r="11" spans="1:11" s="415" customFormat="1" ht="30" customHeight="1" x14ac:dyDescent="0.25">
      <c r="B11" s="416"/>
      <c r="C11" s="417"/>
      <c r="D11" s="417"/>
      <c r="E11" s="417"/>
    </row>
    <row r="12" spans="1:11" s="415" customFormat="1" ht="30" customHeight="1" x14ac:dyDescent="0.25">
      <c r="B12" s="416"/>
      <c r="C12" s="417"/>
      <c r="D12" s="417"/>
      <c r="E12" s="417"/>
    </row>
    <row r="13" spans="1:11" s="415" customFormat="1" ht="30" customHeight="1" x14ac:dyDescent="0.25">
      <c r="A13" s="1530"/>
      <c r="B13" s="1530"/>
      <c r="C13" s="1530"/>
      <c r="D13" s="1530"/>
      <c r="E13" s="1530"/>
      <c r="F13" s="418"/>
      <c r="G13" s="1530"/>
      <c r="H13" s="1530"/>
      <c r="I13" s="1530"/>
      <c r="J13" s="1530"/>
      <c r="K13" s="1530"/>
    </row>
    <row r="14" spans="1:11" s="415" customFormat="1" ht="30" customHeight="1" x14ac:dyDescent="0.25">
      <c r="A14" s="419"/>
      <c r="B14" s="418"/>
      <c r="C14" s="419"/>
      <c r="D14" s="419"/>
      <c r="E14" s="419"/>
      <c r="F14" s="418"/>
      <c r="G14" s="419"/>
      <c r="H14" s="418"/>
      <c r="I14" s="419"/>
      <c r="J14" s="419"/>
      <c r="K14" s="419"/>
    </row>
    <row r="15" spans="1:11" s="415" customFormat="1" ht="30" customHeight="1" x14ac:dyDescent="0.25">
      <c r="A15" s="1529"/>
      <c r="B15" s="420"/>
      <c r="C15" s="421"/>
      <c r="D15" s="421"/>
      <c r="E15" s="421"/>
      <c r="F15" s="418"/>
      <c r="G15" s="1529"/>
      <c r="H15" s="420"/>
      <c r="I15" s="421"/>
      <c r="J15" s="421"/>
      <c r="K15" s="421"/>
    </row>
    <row r="16" spans="1:11" s="415" customFormat="1" ht="30" customHeight="1" x14ac:dyDescent="0.25">
      <c r="A16" s="1529"/>
      <c r="B16" s="422"/>
      <c r="C16" s="423"/>
      <c r="D16" s="423"/>
      <c r="E16" s="423"/>
      <c r="F16" s="418"/>
      <c r="G16" s="1529"/>
      <c r="H16" s="422"/>
      <c r="I16" s="423"/>
      <c r="J16" s="423"/>
      <c r="K16" s="423"/>
    </row>
    <row r="17" spans="1:11" s="415" customFormat="1" ht="30" customHeight="1" x14ac:dyDescent="0.25">
      <c r="A17" s="1529"/>
      <c r="B17" s="422"/>
      <c r="C17" s="423"/>
      <c r="D17" s="423"/>
      <c r="E17" s="423"/>
      <c r="F17" s="418"/>
      <c r="G17" s="1529"/>
      <c r="H17" s="422"/>
      <c r="I17" s="423"/>
      <c r="J17" s="423"/>
      <c r="K17" s="423"/>
    </row>
    <row r="18" spans="1:11" s="415" customFormat="1" ht="30" customHeight="1" x14ac:dyDescent="0.25">
      <c r="A18" s="1529"/>
      <c r="B18" s="420"/>
      <c r="C18" s="421"/>
      <c r="D18" s="421"/>
      <c r="E18" s="421"/>
      <c r="F18" s="418"/>
      <c r="G18" s="1529"/>
      <c r="H18" s="420"/>
      <c r="I18" s="421"/>
      <c r="J18" s="421"/>
      <c r="K18" s="421"/>
    </row>
    <row r="19" spans="1:11" s="415" customFormat="1" ht="30" customHeight="1" x14ac:dyDescent="0.25">
      <c r="A19" s="1529"/>
      <c r="B19" s="420"/>
      <c r="C19" s="421"/>
      <c r="D19" s="421"/>
      <c r="E19" s="421"/>
      <c r="F19" s="418"/>
      <c r="G19" s="1529"/>
      <c r="H19" s="420"/>
      <c r="I19" s="421"/>
      <c r="J19" s="421"/>
      <c r="K19" s="421"/>
    </row>
    <row r="20" spans="1:11" s="415" customFormat="1" ht="30" customHeight="1" x14ac:dyDescent="0.25">
      <c r="A20" s="418"/>
      <c r="B20" s="418"/>
      <c r="C20" s="418"/>
      <c r="D20" s="418"/>
      <c r="E20" s="418"/>
      <c r="F20" s="418"/>
      <c r="G20" s="418"/>
      <c r="H20" s="418"/>
      <c r="I20" s="418"/>
      <c r="J20" s="418"/>
      <c r="K20" s="418"/>
    </row>
    <row r="21" spans="1:11" s="415" customFormat="1" ht="30" customHeight="1" x14ac:dyDescent="0.25">
      <c r="A21" s="418"/>
      <c r="B21" s="418"/>
      <c r="C21" s="418"/>
      <c r="D21" s="418"/>
      <c r="E21" s="418"/>
      <c r="F21" s="418"/>
      <c r="G21" s="418"/>
      <c r="H21" s="418"/>
      <c r="I21" s="418"/>
      <c r="J21" s="418"/>
      <c r="K21" s="418"/>
    </row>
    <row r="22" spans="1:11" s="415" customFormat="1" ht="30" customHeight="1" x14ac:dyDescent="0.25">
      <c r="A22" s="1530"/>
      <c r="B22" s="1530"/>
      <c r="C22" s="1530"/>
      <c r="D22" s="1530"/>
      <c r="E22" s="1530"/>
      <c r="F22" s="418"/>
      <c r="G22" s="1530"/>
      <c r="H22" s="1530"/>
      <c r="I22" s="1530"/>
      <c r="J22" s="1530"/>
      <c r="K22" s="1530"/>
    </row>
    <row r="23" spans="1:11" s="415" customFormat="1" ht="30" customHeight="1" x14ac:dyDescent="0.25">
      <c r="A23" s="419"/>
      <c r="B23" s="418"/>
      <c r="C23" s="419"/>
      <c r="D23" s="419"/>
      <c r="E23" s="419"/>
      <c r="F23" s="418"/>
      <c r="G23" s="419"/>
      <c r="H23" s="418"/>
      <c r="I23" s="419"/>
      <c r="J23" s="419"/>
      <c r="K23" s="419"/>
    </row>
    <row r="24" spans="1:11" s="415" customFormat="1" ht="30" customHeight="1" x14ac:dyDescent="0.25">
      <c r="A24" s="1529"/>
      <c r="B24" s="420"/>
      <c r="C24" s="421"/>
      <c r="D24" s="421"/>
      <c r="E24" s="421"/>
      <c r="F24" s="418"/>
      <c r="G24" s="1529"/>
      <c r="H24" s="420"/>
      <c r="I24" s="421"/>
      <c r="J24" s="421"/>
      <c r="K24" s="421"/>
    </row>
    <row r="25" spans="1:11" s="415" customFormat="1" ht="30" customHeight="1" x14ac:dyDescent="0.25">
      <c r="A25" s="1529"/>
      <c r="B25" s="422"/>
      <c r="C25" s="423"/>
      <c r="D25" s="423"/>
      <c r="E25" s="423"/>
      <c r="F25" s="418"/>
      <c r="G25" s="1529"/>
      <c r="H25" s="422"/>
      <c r="I25" s="423"/>
      <c r="J25" s="423"/>
      <c r="K25" s="423"/>
    </row>
    <row r="26" spans="1:11" s="415" customFormat="1" ht="30" customHeight="1" x14ac:dyDescent="0.25">
      <c r="A26" s="1529"/>
      <c r="B26" s="422"/>
      <c r="C26" s="423"/>
      <c r="D26" s="423"/>
      <c r="E26" s="423"/>
      <c r="F26" s="418"/>
      <c r="G26" s="1529"/>
      <c r="H26" s="422"/>
      <c r="I26" s="423"/>
      <c r="J26" s="423"/>
      <c r="K26" s="423"/>
    </row>
    <row r="27" spans="1:11" s="415" customFormat="1" ht="30" customHeight="1" x14ac:dyDescent="0.25">
      <c r="A27" s="1529"/>
      <c r="B27" s="420"/>
      <c r="C27" s="421"/>
      <c r="D27" s="421"/>
      <c r="E27" s="421"/>
      <c r="F27" s="418"/>
      <c r="G27" s="1529"/>
      <c r="H27" s="420"/>
      <c r="I27" s="421"/>
      <c r="J27" s="421"/>
      <c r="K27" s="421"/>
    </row>
    <row r="28" spans="1:11" s="415" customFormat="1" ht="30" customHeight="1" x14ac:dyDescent="0.25">
      <c r="A28" s="1529"/>
      <c r="B28" s="420"/>
      <c r="C28" s="421"/>
      <c r="D28" s="421"/>
      <c r="E28" s="421"/>
      <c r="F28" s="418"/>
      <c r="G28" s="1529"/>
      <c r="H28" s="420"/>
      <c r="I28" s="421"/>
      <c r="J28" s="421"/>
      <c r="K28" s="421"/>
    </row>
    <row r="29" spans="1:11" s="415" customFormat="1" ht="30" customHeight="1" x14ac:dyDescent="0.25">
      <c r="A29" s="418"/>
      <c r="B29" s="426"/>
      <c r="C29" s="420"/>
      <c r="D29" s="420"/>
      <c r="E29" s="420"/>
      <c r="F29" s="418"/>
      <c r="G29" s="418"/>
      <c r="H29" s="418"/>
      <c r="I29" s="418"/>
      <c r="J29" s="418"/>
      <c r="K29" s="418"/>
    </row>
    <row r="30" spans="1:11" s="415" customFormat="1" ht="30" customHeight="1" x14ac:dyDescent="0.25">
      <c r="A30" s="418"/>
      <c r="B30" s="418"/>
      <c r="C30" s="418"/>
      <c r="D30" s="418"/>
      <c r="E30" s="418"/>
      <c r="F30" s="418"/>
      <c r="G30" s="418"/>
      <c r="H30" s="418"/>
      <c r="I30" s="418"/>
      <c r="J30" s="418"/>
      <c r="K30" s="418"/>
    </row>
    <row r="31" spans="1:11" s="415" customFormat="1" ht="30" customHeight="1" x14ac:dyDescent="0.25">
      <c r="A31" s="1530"/>
      <c r="B31" s="1530"/>
      <c r="C31" s="1530"/>
      <c r="D31" s="1530"/>
      <c r="E31" s="1530"/>
      <c r="F31" s="418"/>
      <c r="G31" s="1530"/>
      <c r="H31" s="1530"/>
      <c r="I31" s="1530"/>
      <c r="J31" s="1530"/>
      <c r="K31" s="1530"/>
    </row>
    <row r="32" spans="1:11" s="415" customFormat="1" ht="30" customHeight="1" x14ac:dyDescent="0.25">
      <c r="A32" s="419"/>
      <c r="B32" s="418"/>
      <c r="C32" s="419"/>
      <c r="D32" s="419"/>
      <c r="E32" s="419"/>
      <c r="F32" s="418"/>
      <c r="G32" s="419"/>
      <c r="H32" s="418"/>
      <c r="I32" s="419"/>
      <c r="J32" s="419"/>
      <c r="K32" s="419"/>
    </row>
    <row r="33" spans="1:11" s="415" customFormat="1" ht="30" customHeight="1" x14ac:dyDescent="0.25">
      <c r="A33" s="1529"/>
      <c r="B33" s="420"/>
      <c r="C33" s="421"/>
      <c r="D33" s="421"/>
      <c r="E33" s="421"/>
      <c r="F33" s="418"/>
      <c r="G33" s="1529"/>
      <c r="H33" s="420"/>
      <c r="I33" s="421"/>
      <c r="J33" s="421"/>
      <c r="K33" s="421"/>
    </row>
    <row r="34" spans="1:11" s="415" customFormat="1" ht="30" customHeight="1" x14ac:dyDescent="0.25">
      <c r="A34" s="1529"/>
      <c r="B34" s="422"/>
      <c r="C34" s="423"/>
      <c r="D34" s="423"/>
      <c r="E34" s="423"/>
      <c r="F34" s="418"/>
      <c r="G34" s="1529"/>
      <c r="H34" s="422"/>
      <c r="I34" s="423"/>
      <c r="J34" s="423"/>
      <c r="K34" s="423"/>
    </row>
    <row r="35" spans="1:11" s="415" customFormat="1" ht="30" customHeight="1" x14ac:dyDescent="0.25">
      <c r="A35" s="1529"/>
      <c r="B35" s="422"/>
      <c r="C35" s="423"/>
      <c r="D35" s="423"/>
      <c r="E35" s="423"/>
      <c r="F35" s="418"/>
      <c r="G35" s="1529"/>
      <c r="H35" s="422"/>
      <c r="I35" s="423"/>
      <c r="J35" s="423"/>
      <c r="K35" s="423"/>
    </row>
    <row r="36" spans="1:11" s="415" customFormat="1" ht="30" customHeight="1" x14ac:dyDescent="0.25">
      <c r="A36" s="1529"/>
      <c r="B36" s="420"/>
      <c r="C36" s="421"/>
      <c r="D36" s="421"/>
      <c r="E36" s="421"/>
      <c r="F36" s="418"/>
      <c r="G36" s="1529"/>
      <c r="H36" s="420"/>
      <c r="I36" s="421"/>
      <c r="J36" s="421"/>
      <c r="K36" s="421"/>
    </row>
    <row r="37" spans="1:11" s="415" customFormat="1" ht="30" customHeight="1" x14ac:dyDescent="0.25">
      <c r="A37" s="1529"/>
      <c r="B37" s="420"/>
      <c r="C37" s="421"/>
      <c r="D37" s="421"/>
      <c r="E37" s="421"/>
      <c r="F37" s="418"/>
      <c r="G37" s="1529"/>
      <c r="H37" s="420"/>
      <c r="I37" s="421"/>
      <c r="J37" s="421"/>
      <c r="K37" s="421"/>
    </row>
    <row r="38" spans="1:11" s="415" customFormat="1" x14ac:dyDescent="0.25"/>
    <row r="39" spans="1:11" s="415" customFormat="1" x14ac:dyDescent="0.25"/>
    <row r="40" spans="1:11" s="415" customFormat="1" x14ac:dyDescent="0.25"/>
    <row r="41" spans="1:11" s="415" customFormat="1" x14ac:dyDescent="0.25"/>
    <row r="42" spans="1:11" s="415" customFormat="1" x14ac:dyDescent="0.25"/>
  </sheetData>
  <sheetProtection password="CF5C" sheet="1" objects="1" scenarios="1"/>
  <mergeCells count="15">
    <mergeCell ref="A33:A37"/>
    <mergeCell ref="G33:G37"/>
    <mergeCell ref="A24:A28"/>
    <mergeCell ref="G24:G28"/>
    <mergeCell ref="A31:E31"/>
    <mergeCell ref="G31:K31"/>
    <mergeCell ref="A2:K3"/>
    <mergeCell ref="A5:E5"/>
    <mergeCell ref="A15:A19"/>
    <mergeCell ref="G15:G19"/>
    <mergeCell ref="A22:E22"/>
    <mergeCell ref="G22:K22"/>
    <mergeCell ref="A7:A10"/>
    <mergeCell ref="A13:E13"/>
    <mergeCell ref="G13:K13"/>
  </mergeCells>
  <conditionalFormatting sqref="G5">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Vr.8(2020-04-27)</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@'!$B$162:$B$167</xm:f>
          </x14:formula1>
          <xm:sqref>G5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topLeftCell="A31" zoomScale="80" zoomScaleNormal="25" zoomScaleSheetLayoutView="80" zoomScalePageLayoutView="10" workbookViewId="0">
      <selection activeCell="I30" sqref="I30"/>
    </sheetView>
  </sheetViews>
  <sheetFormatPr baseColWidth="10" defaultColWidth="15.7109375" defaultRowHeight="15" x14ac:dyDescent="0.2"/>
  <cols>
    <col min="1" max="4" width="15.7109375" style="6"/>
    <col min="5" max="5" width="16.85546875" style="6" customWidth="1"/>
    <col min="6" max="7" width="15.7109375" style="6"/>
    <col min="8" max="8" width="17" style="6" customWidth="1"/>
    <col min="9" max="10" width="15.85546875" style="6" bestFit="1" customWidth="1"/>
    <col min="11" max="11" width="16" style="6" bestFit="1" customWidth="1"/>
    <col min="12" max="16384" width="15.7109375" style="6"/>
  </cols>
  <sheetData>
    <row r="1" spans="1:29" s="23" customFormat="1" ht="75" customHeight="1" thickBot="1" x14ac:dyDescent="0.3">
      <c r="A1" s="1399"/>
      <c r="B1" s="1400"/>
      <c r="C1" s="21"/>
      <c r="D1" s="1551" t="s">
        <v>289</v>
      </c>
      <c r="E1" s="1552"/>
      <c r="F1" s="1552"/>
      <c r="G1" s="1552"/>
      <c r="H1" s="1552"/>
      <c r="I1" s="1552"/>
      <c r="J1" s="1552"/>
      <c r="K1" s="1552"/>
      <c r="L1" s="1552"/>
      <c r="M1" s="1552"/>
      <c r="N1" s="1552"/>
      <c r="O1" s="1552"/>
      <c r="P1" s="1552"/>
      <c r="Q1" s="1552"/>
      <c r="R1" s="1552"/>
      <c r="S1" s="1552"/>
      <c r="T1" s="1552"/>
      <c r="U1" s="1552"/>
      <c r="V1" s="1552"/>
      <c r="W1" s="1553"/>
    </row>
    <row r="2" spans="1:29" s="26" customFormat="1" ht="5.0999999999999996" customHeight="1" thickBot="1" x14ac:dyDescent="0.3">
      <c r="A2" s="243"/>
      <c r="B2" s="243"/>
      <c r="C2" s="24"/>
      <c r="D2" s="25"/>
      <c r="E2" s="25"/>
      <c r="F2" s="25"/>
      <c r="G2" s="25"/>
      <c r="H2" s="25"/>
      <c r="I2" s="25"/>
      <c r="J2" s="25"/>
      <c r="K2" s="25"/>
      <c r="L2" s="25"/>
      <c r="M2" s="25"/>
      <c r="N2" s="25"/>
      <c r="O2" s="25"/>
      <c r="P2" s="25"/>
      <c r="Q2" s="25"/>
      <c r="R2" s="25"/>
    </row>
    <row r="3" spans="1:29" s="26" customFormat="1" ht="39.950000000000003" customHeight="1" thickBot="1" x14ac:dyDescent="0.3">
      <c r="A3" s="3" t="s">
        <v>46</v>
      </c>
      <c r="B3" s="17" t="e">
        <f>VLOOKUP(S3,'DATOS @'!D7:N19,2,FALSE)</f>
        <v>#N/A</v>
      </c>
      <c r="C3" s="4" t="s">
        <v>170</v>
      </c>
      <c r="D3" s="1539" t="e">
        <f>VLOOKUP(S3,'DATOS @'!D7:N19,3,FALSE)</f>
        <v>#N/A</v>
      </c>
      <c r="E3" s="1539"/>
      <c r="F3" s="5" t="s">
        <v>320</v>
      </c>
      <c r="G3" s="1540" t="e">
        <f>VLOOKUP(S3,'DATOS @'!D7:N19,7,FALSE)</f>
        <v>#N/A</v>
      </c>
      <c r="H3" s="1540"/>
      <c r="I3" s="5" t="s">
        <v>171</v>
      </c>
      <c r="J3" s="1540" t="e">
        <f>VLOOKUP(S3,'DATOS @'!D7:N19,4,FALSE)</f>
        <v>#N/A</v>
      </c>
      <c r="K3" s="1540"/>
      <c r="L3" s="5" t="s">
        <v>27</v>
      </c>
      <c r="M3" s="247" t="e">
        <f>VLOOKUP(S3,'DATOS @'!D7:N19,6,FALSE)</f>
        <v>#N/A</v>
      </c>
      <c r="N3" s="247"/>
      <c r="O3" s="5" t="s">
        <v>172</v>
      </c>
      <c r="P3" s="1540" t="e">
        <f>VLOOKUP(S3,'DATOS @'!D7:N19,11,FALSE)</f>
        <v>#N/A</v>
      </c>
      <c r="Q3" s="1540"/>
      <c r="R3" s="1541"/>
      <c r="S3" s="16"/>
    </row>
    <row r="4" spans="1:29" s="24" customFormat="1" ht="9.9499999999999993" customHeight="1" x14ac:dyDescent="0.25">
      <c r="C4" s="246"/>
    </row>
    <row r="5" spans="1:29" ht="9.9499999999999993" customHeight="1" thickBot="1" x14ac:dyDescent="0.25">
      <c r="A5" s="27"/>
      <c r="H5" s="24"/>
      <c r="J5" s="24"/>
      <c r="P5" s="22"/>
      <c r="Q5" s="22"/>
      <c r="R5" s="22"/>
      <c r="S5" s="22"/>
      <c r="T5" s="22"/>
      <c r="U5" s="22"/>
      <c r="V5" s="22"/>
      <c r="X5" s="22"/>
      <c r="Y5" s="22"/>
      <c r="Z5" s="22"/>
      <c r="AA5" s="22"/>
      <c r="AB5" s="28"/>
      <c r="AC5" s="22"/>
    </row>
    <row r="6" spans="1:29" ht="39.950000000000003" customHeight="1" thickBot="1" x14ac:dyDescent="0.25">
      <c r="A6" s="1548" t="s">
        <v>260</v>
      </c>
      <c r="B6" s="1549"/>
      <c r="C6" s="1549"/>
      <c r="D6" s="1549"/>
      <c r="E6" s="1549"/>
      <c r="F6" s="1549"/>
      <c r="G6" s="1550"/>
      <c r="H6" s="1427" t="s">
        <v>71</v>
      </c>
      <c r="I6" s="1428"/>
      <c r="J6" s="1429"/>
      <c r="K6" s="1430"/>
      <c r="L6" s="1533" t="s">
        <v>127</v>
      </c>
      <c r="M6" s="1534"/>
      <c r="N6" s="1534"/>
      <c r="O6" s="1534"/>
      <c r="P6" s="1535"/>
      <c r="Q6" s="1542" t="s">
        <v>128</v>
      </c>
      <c r="R6" s="1543"/>
      <c r="S6" s="1543"/>
      <c r="T6" s="1543"/>
      <c r="U6" s="1543"/>
      <c r="V6" s="1544"/>
      <c r="W6" s="22"/>
      <c r="X6" s="22"/>
      <c r="Y6" s="22"/>
      <c r="Z6" s="22"/>
      <c r="AA6" s="22"/>
      <c r="AB6" s="28"/>
      <c r="AC6" s="22"/>
    </row>
    <row r="7" spans="1:29" ht="50.25" customHeight="1" thickBot="1" x14ac:dyDescent="0.25">
      <c r="A7" s="12" t="s">
        <v>162</v>
      </c>
      <c r="B7" s="29" t="s">
        <v>256</v>
      </c>
      <c r="C7" s="30" t="s">
        <v>257</v>
      </c>
      <c r="D7" s="18" t="s">
        <v>258</v>
      </c>
      <c r="E7" s="18" t="s">
        <v>576</v>
      </c>
      <c r="F7" s="31" t="s">
        <v>259</v>
      </c>
      <c r="G7" s="32" t="s">
        <v>97</v>
      </c>
      <c r="H7" s="1446" t="s">
        <v>180</v>
      </c>
      <c r="I7" s="1396"/>
      <c r="J7" s="248" t="e">
        <f>VLOOKUP(K7,'DATOS @'!$P$9:$Q$13,2,FALSE)</f>
        <v>#N/A</v>
      </c>
      <c r="K7" s="16"/>
      <c r="L7" s="1536"/>
      <c r="M7" s="1537"/>
      <c r="N7" s="1537"/>
      <c r="O7" s="1537"/>
      <c r="P7" s="1538"/>
      <c r="Q7" s="1545"/>
      <c r="R7" s="1546"/>
      <c r="S7" s="1546"/>
      <c r="T7" s="1546"/>
      <c r="U7" s="1546"/>
      <c r="V7" s="1547"/>
      <c r="X7" s="33"/>
      <c r="Y7" s="33"/>
      <c r="Z7" s="33"/>
      <c r="AA7" s="33"/>
      <c r="AB7" s="34"/>
      <c r="AC7" s="33"/>
    </row>
    <row r="8" spans="1:29" ht="39.950000000000003" customHeight="1" thickBot="1" x14ac:dyDescent="0.25">
      <c r="A8" s="35" t="e">
        <f>'RT03-F11 @ '!B19:B19</f>
        <v>#N/A</v>
      </c>
      <c r="B8" s="36" t="e">
        <f>'RT03-F11 @ '!Q20</f>
        <v>#N/A</v>
      </c>
      <c r="C8" s="37" t="e">
        <f>'RT03-F11 @ '!C19</f>
        <v>#N/A</v>
      </c>
      <c r="D8" s="38" t="e">
        <f>'RT03-F11 @ '!E19</f>
        <v>#N/A</v>
      </c>
      <c r="E8" s="217" t="e">
        <f>'RT03-F11 @ '!G19</f>
        <v>#N/A</v>
      </c>
      <c r="F8" s="39" t="e">
        <f>'RT03-F11 @ '!I19</f>
        <v>#N/A</v>
      </c>
      <c r="G8" s="40" t="e">
        <f>'RT03-F11 @ '!O19</f>
        <v>#N/A</v>
      </c>
      <c r="H8" s="1431" t="s">
        <v>72</v>
      </c>
      <c r="I8" s="1432"/>
      <c r="J8" s="1433"/>
      <c r="K8" s="1434"/>
      <c r="L8" s="41"/>
      <c r="M8" s="42"/>
      <c r="N8" s="42"/>
      <c r="O8" s="42"/>
      <c r="P8" s="42"/>
      <c r="Q8" s="1592" t="s">
        <v>402</v>
      </c>
      <c r="R8" s="1561" t="s">
        <v>252</v>
      </c>
      <c r="S8" s="1561" t="s">
        <v>403</v>
      </c>
      <c r="T8" s="1561" t="s">
        <v>404</v>
      </c>
      <c r="U8" s="1561" t="s">
        <v>253</v>
      </c>
      <c r="V8" s="1564" t="s">
        <v>254</v>
      </c>
      <c r="W8" s="22"/>
      <c r="X8" s="22"/>
      <c r="Y8" s="22"/>
      <c r="Z8" s="22"/>
      <c r="AA8" s="22"/>
      <c r="AB8" s="28"/>
      <c r="AC8" s="22"/>
    </row>
    <row r="9" spans="1:29" ht="39.950000000000003" customHeight="1" thickBot="1" x14ac:dyDescent="0.25">
      <c r="A9" s="27"/>
      <c r="D9" s="27"/>
      <c r="E9" s="216"/>
      <c r="F9" s="27"/>
      <c r="L9" s="43"/>
      <c r="M9" s="44"/>
      <c r="N9" s="44"/>
      <c r="O9" s="44"/>
      <c r="P9" s="7"/>
      <c r="Q9" s="1593"/>
      <c r="R9" s="1562"/>
      <c r="S9" s="1562"/>
      <c r="T9" s="1562"/>
      <c r="U9" s="1562"/>
      <c r="V9" s="1565"/>
      <c r="AC9" s="22"/>
    </row>
    <row r="10" spans="1:29" ht="39.950000000000003" customHeight="1" thickBot="1" x14ac:dyDescent="0.25">
      <c r="A10" s="27"/>
      <c r="B10" s="1569" t="s">
        <v>227</v>
      </c>
      <c r="C10" s="1570"/>
      <c r="D10" s="1570"/>
      <c r="E10" s="1571"/>
      <c r="F10" s="44"/>
      <c r="H10" s="1569" t="s">
        <v>255</v>
      </c>
      <c r="I10" s="1571"/>
      <c r="L10" s="43"/>
      <c r="M10" s="44"/>
      <c r="N10" s="44"/>
      <c r="O10" s="44"/>
      <c r="P10" s="44"/>
      <c r="Q10" s="1593"/>
      <c r="R10" s="1562"/>
      <c r="S10" s="1563"/>
      <c r="T10" s="1563"/>
      <c r="U10" s="1563"/>
      <c r="V10" s="1566"/>
      <c r="AC10" s="22"/>
    </row>
    <row r="11" spans="1:29" ht="39.950000000000003" customHeight="1" thickBot="1" x14ac:dyDescent="0.4">
      <c r="A11" s="27"/>
      <c r="B11" s="1597" t="s">
        <v>221</v>
      </c>
      <c r="C11" s="1598"/>
      <c r="D11" s="1599" t="s">
        <v>129</v>
      </c>
      <c r="E11" s="1600"/>
      <c r="F11" s="27"/>
      <c r="H11" s="45" t="s">
        <v>219</v>
      </c>
      <c r="I11" s="46" t="s">
        <v>4</v>
      </c>
      <c r="L11" s="47" t="s">
        <v>154</v>
      </c>
      <c r="M11" s="44"/>
      <c r="N11" s="44"/>
      <c r="O11" s="48" t="s">
        <v>130</v>
      </c>
      <c r="P11" s="44"/>
      <c r="Q11" s="1601" t="e">
        <f>B8</f>
        <v>#N/A</v>
      </c>
      <c r="R11" s="1590" t="e">
        <f>C8</f>
        <v>#N/A</v>
      </c>
      <c r="S11" s="127"/>
      <c r="T11" s="49" t="e">
        <f>M19</f>
        <v>#N/A</v>
      </c>
      <c r="U11" s="49" t="e">
        <f>($R$11-T11)</f>
        <v>#N/A</v>
      </c>
      <c r="V11" s="50" t="e">
        <f>U11/$D$12</f>
        <v>#N/A</v>
      </c>
      <c r="AC11" s="33"/>
    </row>
    <row r="12" spans="1:29" ht="39.950000000000003" customHeight="1" thickBot="1" x14ac:dyDescent="0.3">
      <c r="A12" s="27"/>
      <c r="B12" s="51" t="e">
        <f>VLOOKUP(F12,'DATOS @'!$AC$113:$AF$118,2,FALSE)</f>
        <v>#N/A</v>
      </c>
      <c r="C12" s="52"/>
      <c r="D12" s="53" t="e">
        <f>VLOOKUP(F12,'DATOS @'!$AC$113:$AE$117,3,FALSE)</f>
        <v>#N/A</v>
      </c>
      <c r="E12" s="54"/>
      <c r="F12" s="131"/>
      <c r="H12" s="55" t="s">
        <v>222</v>
      </c>
      <c r="I12" s="56">
        <f>I13/2</f>
        <v>8.1935300000000009</v>
      </c>
      <c r="L12" s="47" t="s">
        <v>131</v>
      </c>
      <c r="M12" s="48"/>
      <c r="N12" s="48" t="s">
        <v>130</v>
      </c>
      <c r="O12" s="48"/>
      <c r="P12" s="44"/>
      <c r="Q12" s="1601"/>
      <c r="R12" s="1590"/>
      <c r="S12" s="127"/>
      <c r="T12" s="49" t="e">
        <f>M20</f>
        <v>#N/A</v>
      </c>
      <c r="U12" s="49" t="e">
        <f>($R$11-T12)</f>
        <v>#N/A</v>
      </c>
      <c r="V12" s="50" t="e">
        <f>U12/$D$12</f>
        <v>#N/A</v>
      </c>
      <c r="AC12" s="34"/>
    </row>
    <row r="13" spans="1:29" ht="39.950000000000003" customHeight="1" thickBot="1" x14ac:dyDescent="0.4">
      <c r="A13" s="27"/>
      <c r="F13" s="44"/>
      <c r="H13" s="55" t="s">
        <v>223</v>
      </c>
      <c r="I13" s="56">
        <v>16.387060000000002</v>
      </c>
      <c r="L13" s="57" t="s">
        <v>155</v>
      </c>
      <c r="M13" s="58" t="s">
        <v>130</v>
      </c>
      <c r="N13" s="59"/>
      <c r="O13" s="59"/>
      <c r="P13" s="60" t="s">
        <v>132</v>
      </c>
      <c r="Q13" s="1602"/>
      <c r="R13" s="1591"/>
      <c r="S13" s="128"/>
      <c r="T13" s="61" t="e">
        <f>M21</f>
        <v>#N/A</v>
      </c>
      <c r="U13" s="61" t="e">
        <f>($R$11-T13)</f>
        <v>#N/A</v>
      </c>
      <c r="V13" s="62" t="e">
        <f>U13/$D$12</f>
        <v>#N/A</v>
      </c>
      <c r="AC13" s="34"/>
    </row>
    <row r="14" spans="1:29" s="44" customFormat="1" ht="39.950000000000003" customHeight="1" thickBot="1" x14ac:dyDescent="0.4">
      <c r="L14" s="8"/>
      <c r="M14" s="63" t="s">
        <v>215</v>
      </c>
      <c r="N14" s="63" t="s">
        <v>132</v>
      </c>
      <c r="O14" s="63" t="s">
        <v>216</v>
      </c>
      <c r="P14" s="9"/>
      <c r="T14" s="64" t="s">
        <v>226</v>
      </c>
      <c r="U14" s="65" t="e">
        <f>AVERAGE(U11:U13)</f>
        <v>#N/A</v>
      </c>
      <c r="V14" s="66" t="e">
        <f>AVERAGE(V11:V13)</f>
        <v>#N/A</v>
      </c>
      <c r="AC14" s="22"/>
    </row>
    <row r="15" spans="1:29" ht="39.950000000000003" customHeight="1" thickBot="1" x14ac:dyDescent="0.25">
      <c r="A15" s="27"/>
      <c r="D15" s="27"/>
      <c r="E15" s="27"/>
      <c r="F15" s="27"/>
      <c r="R15" s="27"/>
      <c r="S15" s="27"/>
      <c r="T15" s="67"/>
      <c r="U15" s="61" t="e">
        <f>STDEVA(U11:U13)</f>
        <v>#N/A</v>
      </c>
      <c r="V15" s="68" t="e">
        <f>_xlfn.STDEV.S(V11:V13)</f>
        <v>#N/A</v>
      </c>
      <c r="AC15" s="69"/>
    </row>
    <row r="16" spans="1:29" ht="39.950000000000003" customHeight="1" thickBot="1" x14ac:dyDescent="0.25">
      <c r="A16" s="27"/>
      <c r="T16" s="70"/>
      <c r="U16" s="61" t="e">
        <f>U15/SQRT(3)</f>
        <v>#N/A</v>
      </c>
      <c r="V16" s="71" t="e">
        <f>V15/SQRT(3)</f>
        <v>#N/A</v>
      </c>
      <c r="AC16" s="72"/>
    </row>
    <row r="17" spans="1:29" ht="39.950000000000003" customHeight="1" thickBot="1" x14ac:dyDescent="0.25">
      <c r="A17" s="27"/>
      <c r="B17" s="1578" t="s">
        <v>345</v>
      </c>
      <c r="C17" s="1579"/>
      <c r="D17" s="1579"/>
      <c r="E17" s="1579"/>
      <c r="F17" s="1580"/>
      <c r="G17" s="1581" t="s">
        <v>407</v>
      </c>
      <c r="H17" s="1582"/>
      <c r="I17" s="1582"/>
      <c r="J17" s="1582"/>
      <c r="K17" s="1583"/>
      <c r="T17" s="27"/>
      <c r="U17" s="27"/>
      <c r="V17" s="27"/>
      <c r="AC17" s="73"/>
    </row>
    <row r="18" spans="1:29" ht="39.950000000000003" customHeight="1" thickBot="1" x14ac:dyDescent="0.25">
      <c r="A18" s="27"/>
      <c r="B18" s="74" t="s">
        <v>63</v>
      </c>
      <c r="C18" s="75" t="s">
        <v>139</v>
      </c>
      <c r="D18" s="75" t="s">
        <v>140</v>
      </c>
      <c r="E18" s="75" t="s">
        <v>141</v>
      </c>
      <c r="F18" s="139" t="s">
        <v>142</v>
      </c>
      <c r="G18" s="241" t="s">
        <v>57</v>
      </c>
      <c r="H18" s="97" t="s">
        <v>42</v>
      </c>
      <c r="I18" s="97" t="s">
        <v>43</v>
      </c>
      <c r="J18" s="97" t="s">
        <v>217</v>
      </c>
      <c r="K18" s="208" t="s">
        <v>64</v>
      </c>
      <c r="L18" s="244" t="s">
        <v>251</v>
      </c>
      <c r="M18" s="97" t="s">
        <v>133</v>
      </c>
      <c r="N18" s="209" t="s">
        <v>134</v>
      </c>
      <c r="O18" s="76" t="e">
        <f>(O21-O20)/(N21-N20)</f>
        <v>#N/A</v>
      </c>
      <c r="P18" s="44"/>
      <c r="Q18" s="77"/>
      <c r="R18" s="59"/>
      <c r="U18" s="210"/>
      <c r="V18" s="211" t="e">
        <f>AVERAGE(S11:S13)</f>
        <v>#DIV/0!</v>
      </c>
      <c r="AC18" s="73"/>
    </row>
    <row r="19" spans="1:29" s="44" customFormat="1" ht="49.5" customHeight="1" x14ac:dyDescent="0.2">
      <c r="B19" s="78" t="s">
        <v>405</v>
      </c>
      <c r="C19" s="129"/>
      <c r="D19" s="129"/>
      <c r="E19" s="129"/>
      <c r="F19" s="140" t="e">
        <f>AVERAGE(C19:E19)</f>
        <v>#DIV/0!</v>
      </c>
      <c r="G19" s="205" t="s">
        <v>70</v>
      </c>
      <c r="H19" s="234">
        <v>3.7854100000000002</v>
      </c>
      <c r="I19" s="234">
        <f>(H19/H21)*1000</f>
        <v>3785.4100000000003</v>
      </c>
      <c r="J19" s="234">
        <f>(I19*I22)/I20</f>
        <v>230.99994751956731</v>
      </c>
      <c r="K19" s="235">
        <v>5</v>
      </c>
      <c r="L19" s="206">
        <f>S11</f>
        <v>0</v>
      </c>
      <c r="M19" s="207" t="e">
        <f>($O$21+$O$18*(L19-$N$21))</f>
        <v>#N/A</v>
      </c>
      <c r="N19" s="233" t="s">
        <v>135</v>
      </c>
      <c r="O19" s="233" t="s">
        <v>136</v>
      </c>
      <c r="P19" s="199" t="s">
        <v>137</v>
      </c>
      <c r="Q19" s="1572" t="s">
        <v>138</v>
      </c>
      <c r="R19" s="1572"/>
      <c r="S19" s="1573"/>
      <c r="U19" s="212"/>
      <c r="V19" s="213">
        <f>(I13/10)/SQRT(3)</f>
        <v>0.94610735022265502</v>
      </c>
    </row>
    <row r="20" spans="1:29" s="44" customFormat="1" ht="39.950000000000003" customHeight="1" thickBot="1" x14ac:dyDescent="0.25">
      <c r="B20" s="55" t="s">
        <v>143</v>
      </c>
      <c r="C20" s="183"/>
      <c r="D20" s="130"/>
      <c r="E20" s="130"/>
      <c r="F20" s="141" t="e">
        <f>AVERAGE(C20:E20)</f>
        <v>#DIV/0!</v>
      </c>
      <c r="G20" s="79" t="s">
        <v>217</v>
      </c>
      <c r="H20" s="138">
        <v>1.6387059999999998E-2</v>
      </c>
      <c r="I20" s="138">
        <f>(H20/H21)*I21</f>
        <v>16.387059999999998</v>
      </c>
      <c r="J20" s="138">
        <v>1</v>
      </c>
      <c r="K20" s="236">
        <f>J19*K19</f>
        <v>1154.9997375978367</v>
      </c>
      <c r="L20" s="200">
        <f>S12</f>
        <v>0</v>
      </c>
      <c r="M20" s="49" t="e">
        <f>($O$21+$O$18*(L20-$N$21))</f>
        <v>#N/A</v>
      </c>
      <c r="N20" s="198" t="e">
        <f>'RT03-F11 @ '!Q19</f>
        <v>#N/A</v>
      </c>
      <c r="O20" s="198" t="e">
        <f>'RT03-F11 @ '!R19</f>
        <v>#N/A</v>
      </c>
      <c r="P20" s="201" t="e">
        <f>(O20-N20)</f>
        <v>#N/A</v>
      </c>
      <c r="Q20" s="1574"/>
      <c r="R20" s="1574"/>
      <c r="S20" s="1575"/>
      <c r="U20" s="214"/>
      <c r="V20" s="71">
        <f>(I13/10)/SQRT(3)</f>
        <v>0.94610735022265502</v>
      </c>
    </row>
    <row r="21" spans="1:29" s="44" customFormat="1" ht="39.950000000000003" customHeight="1" thickBot="1" x14ac:dyDescent="0.25">
      <c r="B21" s="81" t="s">
        <v>406</v>
      </c>
      <c r="C21" s="82" t="e">
        <f>F19-F20</f>
        <v>#DIV/0!</v>
      </c>
      <c r="D21" s="83"/>
      <c r="E21" s="84"/>
      <c r="F21" s="84"/>
      <c r="G21" s="79" t="s">
        <v>144</v>
      </c>
      <c r="H21" s="138">
        <v>1</v>
      </c>
      <c r="I21" s="138">
        <v>1000</v>
      </c>
      <c r="J21" s="138">
        <f>H20</f>
        <v>1.6387059999999998E-2</v>
      </c>
      <c r="K21" s="236">
        <f>K19*H19</f>
        <v>18.927050000000001</v>
      </c>
      <c r="L21" s="202">
        <f>S13</f>
        <v>0</v>
      </c>
      <c r="M21" s="61" t="e">
        <f>($O$21+$O$18*(L21-$N$21))</f>
        <v>#N/A</v>
      </c>
      <c r="N21" s="203" t="e">
        <f>'RT03-F11 @ '!Q20</f>
        <v>#N/A</v>
      </c>
      <c r="O21" s="203" t="e">
        <f>'RT03-F11 @ '!R20</f>
        <v>#N/A</v>
      </c>
      <c r="P21" s="204" t="e">
        <f>(O21-N21)</f>
        <v>#N/A</v>
      </c>
      <c r="Q21" s="1576" t="e">
        <f>ABS(P21-P20)/12^0.5</f>
        <v>#N/A</v>
      </c>
      <c r="R21" s="1576"/>
      <c r="S21" s="1577"/>
    </row>
    <row r="22" spans="1:29" s="44" customFormat="1" ht="39.950000000000003" customHeight="1" thickBot="1" x14ac:dyDescent="0.25">
      <c r="B22" s="85" t="s">
        <v>218</v>
      </c>
      <c r="C22" s="86" t="e">
        <f>I13*((F19-F20)/((SQRT(12)*F19)))</f>
        <v>#DIV/0!</v>
      </c>
      <c r="D22" s="87"/>
      <c r="E22" s="88"/>
      <c r="F22" s="88"/>
      <c r="G22" s="80" t="s">
        <v>145</v>
      </c>
      <c r="H22" s="237">
        <v>1E-3</v>
      </c>
      <c r="I22" s="237">
        <v>1</v>
      </c>
      <c r="J22" s="237">
        <f>I20</f>
        <v>16.387059999999998</v>
      </c>
      <c r="K22" s="238">
        <f>K19*I19</f>
        <v>18927.050000000003</v>
      </c>
    </row>
    <row r="23" spans="1:29" s="44" customFormat="1" ht="39.950000000000003" customHeight="1" thickBot="1" x14ac:dyDescent="0.25">
      <c r="B23" s="89"/>
      <c r="D23" s="25"/>
      <c r="E23" s="25"/>
      <c r="F23" s="90"/>
    </row>
    <row r="24" spans="1:29" s="44" customFormat="1" ht="39.950000000000003" customHeight="1" thickBot="1" x14ac:dyDescent="0.25">
      <c r="B24" s="1569" t="s">
        <v>89</v>
      </c>
      <c r="C24" s="1570"/>
      <c r="D24" s="1570"/>
      <c r="E24" s="1570"/>
      <c r="F24" s="1570"/>
      <c r="G24" s="1570"/>
      <c r="H24" s="1570"/>
      <c r="I24" s="1570"/>
      <c r="J24" s="1570"/>
      <c r="K24" s="1570"/>
      <c r="L24" s="1571"/>
    </row>
    <row r="25" spans="1:29" s="23" customFormat="1" ht="39.950000000000003" customHeight="1" thickBot="1" x14ac:dyDescent="0.3">
      <c r="A25" s="26"/>
      <c r="B25" s="290"/>
      <c r="C25" s="291"/>
      <c r="D25" s="291"/>
      <c r="E25" s="291"/>
      <c r="F25" s="291"/>
      <c r="G25" s="291"/>
      <c r="H25" s="291"/>
      <c r="I25" s="291"/>
      <c r="J25" s="291"/>
      <c r="K25" s="292" t="s">
        <v>90</v>
      </c>
      <c r="L25" s="293" t="s">
        <v>57</v>
      </c>
    </row>
    <row r="26" spans="1:29" s="24" customFormat="1" ht="39.950000000000003" customHeight="1" thickBot="1" x14ac:dyDescent="0.3">
      <c r="B26" s="301" t="s">
        <v>146</v>
      </c>
      <c r="C26" s="302"/>
      <c r="D26" s="302"/>
      <c r="E26" s="302"/>
      <c r="F26" s="302"/>
      <c r="G26" s="303"/>
      <c r="H26" s="303"/>
      <c r="I26" s="303"/>
      <c r="J26" s="304"/>
      <c r="K26" s="299" t="e">
        <f>1/(D12)</f>
        <v>#N/A</v>
      </c>
      <c r="L26" s="300" t="s">
        <v>4</v>
      </c>
    </row>
    <row r="27" spans="1:29" s="23" customFormat="1" ht="5.0999999999999996" customHeight="1" thickBot="1" x14ac:dyDescent="0.3">
      <c r="A27" s="24"/>
      <c r="B27" s="94"/>
      <c r="C27" s="95"/>
      <c r="D27" s="95"/>
      <c r="E27" s="95"/>
      <c r="F27" s="95"/>
      <c r="G27" s="24"/>
      <c r="H27" s="24"/>
      <c r="I27" s="24"/>
      <c r="J27" s="24"/>
      <c r="K27" s="294"/>
      <c r="L27" s="297"/>
    </row>
    <row r="28" spans="1:29" s="24" customFormat="1" ht="39.950000000000003" customHeight="1" thickBot="1" x14ac:dyDescent="0.3">
      <c r="B28" s="301" t="s">
        <v>147</v>
      </c>
      <c r="C28" s="302"/>
      <c r="D28" s="302"/>
      <c r="E28" s="302"/>
      <c r="F28" s="302"/>
      <c r="G28" s="303"/>
      <c r="H28" s="303"/>
      <c r="I28" s="303"/>
      <c r="J28" s="304"/>
      <c r="K28" s="299" t="e">
        <f>-1/(D12)</f>
        <v>#N/A</v>
      </c>
      <c r="L28" s="300" t="s">
        <v>4</v>
      </c>
    </row>
    <row r="29" spans="1:29" s="23" customFormat="1" ht="5.0999999999999996" customHeight="1" thickBot="1" x14ac:dyDescent="0.3">
      <c r="A29" s="24"/>
      <c r="B29" s="94"/>
      <c r="C29" s="95"/>
      <c r="D29" s="95"/>
      <c r="E29" s="95"/>
      <c r="F29" s="95"/>
      <c r="G29" s="24"/>
      <c r="H29" s="24"/>
      <c r="I29" s="24"/>
      <c r="J29" s="24"/>
      <c r="K29" s="294"/>
      <c r="L29" s="298"/>
    </row>
    <row r="30" spans="1:29" s="24" customFormat="1" ht="39.950000000000003" customHeight="1" thickBot="1" x14ac:dyDescent="0.3">
      <c r="B30" s="301" t="s">
        <v>147</v>
      </c>
      <c r="C30" s="302"/>
      <c r="D30" s="302"/>
      <c r="E30" s="302"/>
      <c r="F30" s="302"/>
      <c r="G30" s="303"/>
      <c r="H30" s="303"/>
      <c r="I30" s="303"/>
      <c r="J30" s="304"/>
      <c r="K30" s="299" t="e">
        <f>1/(D12)</f>
        <v>#N/A</v>
      </c>
      <c r="L30" s="300" t="s">
        <v>4</v>
      </c>
    </row>
    <row r="31" spans="1:29" s="23" customFormat="1" ht="5.0999999999999996" customHeight="1" thickBot="1" x14ac:dyDescent="0.3">
      <c r="A31" s="24"/>
      <c r="B31" s="96"/>
      <c r="C31" s="95"/>
      <c r="D31" s="95"/>
      <c r="E31" s="95"/>
      <c r="F31" s="95"/>
      <c r="G31" s="24"/>
      <c r="H31" s="24"/>
      <c r="I31" s="24"/>
      <c r="J31" s="24"/>
      <c r="K31" s="295"/>
      <c r="L31" s="298"/>
      <c r="M31" s="243"/>
      <c r="N31" s="24"/>
      <c r="O31" s="24"/>
      <c r="P31" s="24"/>
      <c r="Q31" s="24"/>
      <c r="R31" s="26"/>
    </row>
    <row r="32" spans="1:29" s="24" customFormat="1" ht="39.950000000000003" customHeight="1" thickBot="1" x14ac:dyDescent="0.3">
      <c r="B32" s="301" t="s">
        <v>147</v>
      </c>
      <c r="C32" s="302"/>
      <c r="D32" s="302"/>
      <c r="E32" s="302"/>
      <c r="F32" s="302"/>
      <c r="G32" s="303"/>
      <c r="H32" s="303"/>
      <c r="I32" s="303"/>
      <c r="J32" s="304"/>
      <c r="K32" s="299" t="e">
        <f>K30</f>
        <v>#N/A</v>
      </c>
      <c r="L32" s="300" t="s">
        <v>4</v>
      </c>
    </row>
    <row r="33" spans="1:18" s="23" customFormat="1" ht="5.0999999999999996" customHeight="1" thickBot="1" x14ac:dyDescent="0.3">
      <c r="A33" s="24"/>
      <c r="B33" s="94"/>
      <c r="C33" s="95"/>
      <c r="D33" s="95"/>
      <c r="E33" s="95"/>
      <c r="F33" s="95"/>
      <c r="G33" s="24"/>
      <c r="H33" s="24"/>
      <c r="I33" s="24"/>
      <c r="J33" s="24"/>
      <c r="K33" s="295"/>
      <c r="L33" s="298"/>
      <c r="M33" s="243"/>
      <c r="N33" s="24"/>
      <c r="O33" s="24"/>
      <c r="P33" s="24"/>
      <c r="Q33" s="24"/>
      <c r="R33" s="26"/>
    </row>
    <row r="34" spans="1:18" s="24" customFormat="1" ht="39.950000000000003" customHeight="1" thickBot="1" x14ac:dyDescent="0.3">
      <c r="B34" s="301" t="s">
        <v>147</v>
      </c>
      <c r="C34" s="302"/>
      <c r="D34" s="302"/>
      <c r="E34" s="302"/>
      <c r="F34" s="302"/>
      <c r="G34" s="303"/>
      <c r="H34" s="303"/>
      <c r="I34" s="303"/>
      <c r="J34" s="304"/>
      <c r="K34" s="299">
        <v>1</v>
      </c>
      <c r="L34" s="300" t="s">
        <v>4</v>
      </c>
    </row>
    <row r="35" spans="1:18" s="23" customFormat="1" ht="5.0999999999999996" customHeight="1" thickBot="1" x14ac:dyDescent="0.3">
      <c r="A35" s="24"/>
      <c r="B35" s="91"/>
      <c r="C35" s="24"/>
      <c r="D35" s="24"/>
      <c r="E35" s="24"/>
      <c r="F35" s="24"/>
      <c r="G35" s="24"/>
      <c r="H35" s="24"/>
      <c r="I35" s="24"/>
      <c r="J35" s="24"/>
      <c r="K35" s="296"/>
      <c r="L35" s="275"/>
      <c r="M35" s="243"/>
      <c r="N35" s="24"/>
      <c r="O35" s="24"/>
      <c r="P35" s="24"/>
      <c r="Q35" s="24"/>
      <c r="R35" s="26"/>
    </row>
    <row r="36" spans="1:18" s="24" customFormat="1" ht="39.950000000000003" customHeight="1" thickBot="1" x14ac:dyDescent="0.3">
      <c r="B36" s="301" t="s">
        <v>147</v>
      </c>
      <c r="C36" s="302"/>
      <c r="D36" s="302"/>
      <c r="E36" s="302"/>
      <c r="F36" s="302"/>
      <c r="G36" s="303"/>
      <c r="H36" s="303"/>
      <c r="I36" s="303"/>
      <c r="J36" s="304"/>
      <c r="K36" s="299">
        <v>1</v>
      </c>
      <c r="L36" s="300" t="s">
        <v>4</v>
      </c>
    </row>
    <row r="37" spans="1:18" s="26" customFormat="1" ht="39.950000000000003" customHeight="1" x14ac:dyDescent="0.25">
      <c r="A37" s="24"/>
      <c r="M37" s="243"/>
    </row>
    <row r="38" spans="1:18" s="24" customFormat="1" ht="39.950000000000003" customHeight="1" thickBot="1" x14ac:dyDescent="0.3">
      <c r="R38" s="92"/>
    </row>
    <row r="39" spans="1:18" s="23" customFormat="1" ht="39.950000000000003" customHeight="1" thickBot="1" x14ac:dyDescent="0.3">
      <c r="B39" s="1569" t="s">
        <v>94</v>
      </c>
      <c r="C39" s="1570"/>
      <c r="D39" s="1570"/>
      <c r="E39" s="1570"/>
      <c r="F39" s="1570"/>
      <c r="G39" s="1570"/>
      <c r="H39" s="1570"/>
      <c r="I39" s="1570"/>
      <c r="J39" s="1570"/>
      <c r="K39" s="1570"/>
      <c r="L39" s="1570"/>
      <c r="M39" s="1570"/>
      <c r="N39" s="1570"/>
      <c r="O39" s="1570"/>
      <c r="P39" s="1570"/>
      <c r="Q39" s="1571"/>
    </row>
    <row r="40" spans="1:18" s="23" customFormat="1" ht="48" customHeight="1" thickBot="1" x14ac:dyDescent="0.3">
      <c r="A40" s="26"/>
      <c r="B40" s="1431" t="s">
        <v>228</v>
      </c>
      <c r="C40" s="1474"/>
      <c r="D40" s="97" t="s">
        <v>229</v>
      </c>
      <c r="E40" s="97" t="s">
        <v>230</v>
      </c>
      <c r="F40" s="97" t="s">
        <v>57</v>
      </c>
      <c r="G40" s="97" t="s">
        <v>97</v>
      </c>
      <c r="H40" s="97" t="s">
        <v>390</v>
      </c>
      <c r="I40" s="97"/>
      <c r="J40" s="97" t="s">
        <v>391</v>
      </c>
      <c r="K40" s="97"/>
      <c r="L40" s="242" t="s">
        <v>231</v>
      </c>
      <c r="M40" s="97" t="s">
        <v>57</v>
      </c>
      <c r="N40" s="242" t="s">
        <v>148</v>
      </c>
      <c r="O40" s="97" t="s">
        <v>101</v>
      </c>
      <c r="P40" s="97" t="s">
        <v>232</v>
      </c>
      <c r="Q40" s="98" t="s">
        <v>392</v>
      </c>
    </row>
    <row r="41" spans="1:18" s="24" customFormat="1" ht="39.950000000000003" customHeight="1" thickBot="1" x14ac:dyDescent="0.3">
      <c r="B41" s="99"/>
      <c r="C41" s="25"/>
      <c r="D41" s="25"/>
      <c r="E41" s="25"/>
      <c r="F41" s="25"/>
      <c r="G41" s="25"/>
      <c r="H41" s="25"/>
      <c r="I41" s="25"/>
      <c r="J41" s="25"/>
      <c r="K41" s="25"/>
      <c r="L41" s="25"/>
      <c r="M41" s="25"/>
      <c r="N41" s="25"/>
      <c r="O41" s="25"/>
      <c r="P41" s="25"/>
      <c r="Q41" s="93"/>
    </row>
    <row r="42" spans="1:18" s="23" customFormat="1" ht="39.950000000000003" customHeight="1" thickBot="1" x14ac:dyDescent="0.3">
      <c r="A42" s="1554"/>
      <c r="B42" s="1475" t="s">
        <v>393</v>
      </c>
      <c r="C42" s="1476"/>
      <c r="D42" s="320" t="e">
        <f>U14</f>
        <v>#N/A</v>
      </c>
      <c r="E42" s="100"/>
      <c r="F42" s="305" t="s">
        <v>4</v>
      </c>
      <c r="G42" s="290"/>
      <c r="H42" s="291"/>
      <c r="I42" s="291"/>
      <c r="J42" s="291"/>
      <c r="K42" s="291"/>
      <c r="L42" s="291"/>
      <c r="M42" s="291"/>
      <c r="N42" s="291"/>
      <c r="O42" s="291"/>
      <c r="P42" s="291"/>
      <c r="Q42" s="21"/>
      <c r="R42" s="26"/>
    </row>
    <row r="43" spans="1:18" s="23" customFormat="1" ht="39.950000000000003" customHeight="1" x14ac:dyDescent="0.25">
      <c r="A43" s="1554"/>
      <c r="B43" s="1559" t="s">
        <v>394</v>
      </c>
      <c r="C43" s="1560"/>
      <c r="D43" s="321" t="e">
        <f>R11</f>
        <v>#N/A</v>
      </c>
      <c r="E43" s="103" t="e">
        <f>F8</f>
        <v>#N/A</v>
      </c>
      <c r="F43" s="101" t="s">
        <v>4</v>
      </c>
      <c r="G43" s="306" t="e">
        <f>G8</f>
        <v>#N/A</v>
      </c>
      <c r="H43" s="307" t="e">
        <f>E43/G43</f>
        <v>#N/A</v>
      </c>
      <c r="I43" s="122" t="str">
        <f>F42</f>
        <v>mL</v>
      </c>
      <c r="J43" s="308">
        <v>0.05</v>
      </c>
      <c r="K43" s="122" t="s">
        <v>4</v>
      </c>
      <c r="L43" s="307" t="e">
        <f>J43*H43</f>
        <v>#N/A</v>
      </c>
      <c r="M43" s="122" t="s">
        <v>4</v>
      </c>
      <c r="N43" s="323" t="e">
        <f>L43^2</f>
        <v>#N/A</v>
      </c>
      <c r="O43" s="309" t="s">
        <v>18</v>
      </c>
      <c r="P43" s="309" t="s">
        <v>106</v>
      </c>
      <c r="Q43" s="310">
        <v>50</v>
      </c>
      <c r="R43" s="26"/>
    </row>
    <row r="44" spans="1:18" s="23" customFormat="1" ht="39.950000000000003" customHeight="1" x14ac:dyDescent="0.25">
      <c r="A44" s="1554"/>
      <c r="B44" s="1557" t="s">
        <v>395</v>
      </c>
      <c r="C44" s="1558"/>
      <c r="D44" s="322" t="e">
        <f>V18</f>
        <v>#DIV/0!</v>
      </c>
      <c r="E44" s="103" t="e">
        <f>D8</f>
        <v>#N/A</v>
      </c>
      <c r="F44" s="101" t="s">
        <v>4</v>
      </c>
      <c r="G44" s="102">
        <f>SQRT(3)</f>
        <v>1.7320508075688772</v>
      </c>
      <c r="H44" s="107" t="e">
        <f>SQRT((H43)^2+(Q21)^2)</f>
        <v>#N/A</v>
      </c>
      <c r="I44" s="101" t="str">
        <f>F43</f>
        <v>mL</v>
      </c>
      <c r="J44" s="105" t="e">
        <f>K28</f>
        <v>#N/A</v>
      </c>
      <c r="K44" s="101" t="s">
        <v>4</v>
      </c>
      <c r="L44" s="104" t="e">
        <f>J44*H44</f>
        <v>#N/A</v>
      </c>
      <c r="M44" s="101" t="s">
        <v>4</v>
      </c>
      <c r="N44" s="108" t="e">
        <f>L44^2</f>
        <v>#N/A</v>
      </c>
      <c r="O44" s="102" t="s">
        <v>18</v>
      </c>
      <c r="P44" s="102" t="s">
        <v>5</v>
      </c>
      <c r="Q44" s="106">
        <v>50</v>
      </c>
      <c r="R44" s="26"/>
    </row>
    <row r="45" spans="1:18" s="23" customFormat="1" ht="39.950000000000003" customHeight="1" thickBot="1" x14ac:dyDescent="0.3">
      <c r="A45" s="24"/>
      <c r="B45" s="1555" t="s">
        <v>396</v>
      </c>
      <c r="C45" s="1556"/>
      <c r="D45" s="114"/>
      <c r="E45" s="115">
        <f>I13/10</f>
        <v>1.6387060000000002</v>
      </c>
      <c r="F45" s="116" t="s">
        <v>4</v>
      </c>
      <c r="G45" s="115">
        <f>SQRT(3)</f>
        <v>1.7320508075688772</v>
      </c>
      <c r="H45" s="117">
        <f>E45/G45</f>
        <v>0.94610735022265502</v>
      </c>
      <c r="I45" s="116" t="str">
        <f>F44</f>
        <v>mL</v>
      </c>
      <c r="J45" s="117">
        <f>J43</f>
        <v>0.05</v>
      </c>
      <c r="K45" s="116" t="s">
        <v>4</v>
      </c>
      <c r="L45" s="119">
        <f>J45*H45</f>
        <v>4.7305367511132755E-2</v>
      </c>
      <c r="M45" s="116" t="s">
        <v>4</v>
      </c>
      <c r="N45" s="119">
        <f>L45^2</f>
        <v>2.2377977953633344E-3</v>
      </c>
      <c r="O45" s="115" t="s">
        <v>149</v>
      </c>
      <c r="P45" s="115" t="s">
        <v>5</v>
      </c>
      <c r="Q45" s="120" t="s">
        <v>11</v>
      </c>
      <c r="R45" s="26"/>
    </row>
    <row r="46" spans="1:18" s="24" customFormat="1" ht="39.950000000000003" customHeight="1" thickBot="1" x14ac:dyDescent="0.3">
      <c r="B46" s="109"/>
      <c r="C46" s="110"/>
      <c r="D46" s="110"/>
      <c r="E46" s="243"/>
      <c r="F46" s="111"/>
      <c r="G46" s="243"/>
      <c r="H46" s="243"/>
      <c r="I46" s="243"/>
      <c r="J46" s="112"/>
      <c r="K46" s="243"/>
      <c r="L46" s="243"/>
      <c r="M46" s="243"/>
      <c r="N46" s="324"/>
      <c r="O46" s="243"/>
      <c r="P46" s="243"/>
      <c r="Q46" s="113"/>
    </row>
    <row r="47" spans="1:18" s="23" customFormat="1" ht="39.950000000000003" customHeight="1" x14ac:dyDescent="0.25">
      <c r="A47" s="24"/>
      <c r="B47" s="1475" t="s">
        <v>397</v>
      </c>
      <c r="C47" s="1476"/>
      <c r="D47" s="311"/>
      <c r="E47" s="134">
        <f>I13/10</f>
        <v>1.6387060000000002</v>
      </c>
      <c r="F47" s="261" t="s">
        <v>4</v>
      </c>
      <c r="G47" s="134">
        <f>SQRT(3)</f>
        <v>1.7320508075688772</v>
      </c>
      <c r="H47" s="269">
        <f>E47/G47</f>
        <v>0.94610735022265502</v>
      </c>
      <c r="I47" s="261" t="str">
        <f>$I$45</f>
        <v>mL</v>
      </c>
      <c r="J47" s="270">
        <f>J43</f>
        <v>0.05</v>
      </c>
      <c r="K47" s="261" t="s">
        <v>4</v>
      </c>
      <c r="L47" s="271">
        <f>H47*J47</f>
        <v>4.7305367511132755E-2</v>
      </c>
      <c r="M47" s="261" t="s">
        <v>4</v>
      </c>
      <c r="N47" s="271">
        <f>L47^2</f>
        <v>2.2377977953633344E-3</v>
      </c>
      <c r="O47" s="134" t="s">
        <v>149</v>
      </c>
      <c r="P47" s="134" t="s">
        <v>5</v>
      </c>
      <c r="Q47" s="272" t="s">
        <v>11</v>
      </c>
      <c r="R47" s="26"/>
    </row>
    <row r="48" spans="1:18" s="23" customFormat="1" ht="39.950000000000003" customHeight="1" thickBot="1" x14ac:dyDescent="0.3">
      <c r="A48" s="24"/>
      <c r="B48" s="1555" t="s">
        <v>150</v>
      </c>
      <c r="C48" s="1556"/>
      <c r="D48" s="114"/>
      <c r="E48" s="117" t="e">
        <f>I13*((C21)/(2*F19))</f>
        <v>#DIV/0!</v>
      </c>
      <c r="F48" s="116" t="s">
        <v>4</v>
      </c>
      <c r="G48" s="115">
        <f>SQRT(12)</f>
        <v>3.4641016151377544</v>
      </c>
      <c r="H48" s="117" t="e">
        <f>E48/G48</f>
        <v>#DIV/0!</v>
      </c>
      <c r="I48" s="116" t="str">
        <f>$I$45</f>
        <v>mL</v>
      </c>
      <c r="J48" s="118">
        <v>1</v>
      </c>
      <c r="K48" s="116" t="s">
        <v>4</v>
      </c>
      <c r="L48" s="119" t="e">
        <f>H48*J48</f>
        <v>#DIV/0!</v>
      </c>
      <c r="M48" s="116" t="s">
        <v>4</v>
      </c>
      <c r="N48" s="119" t="e">
        <f>L48^2</f>
        <v>#DIV/0!</v>
      </c>
      <c r="O48" s="115"/>
      <c r="P48" s="115" t="s">
        <v>5</v>
      </c>
      <c r="Q48" s="120" t="s">
        <v>11</v>
      </c>
      <c r="R48" s="26"/>
    </row>
    <row r="49" spans="1:18" s="23" customFormat="1" ht="39.950000000000003" customHeight="1" thickBot="1" x14ac:dyDescent="0.3">
      <c r="A49" s="24"/>
      <c r="B49" s="1567" t="s">
        <v>398</v>
      </c>
      <c r="C49" s="1568"/>
      <c r="D49" s="262"/>
      <c r="E49" s="263"/>
      <c r="F49" s="116"/>
      <c r="G49" s="263"/>
      <c r="H49" s="265" t="e">
        <f>V16</f>
        <v>#N/A</v>
      </c>
      <c r="I49" s="264" t="str">
        <f>$I$45</f>
        <v>mL</v>
      </c>
      <c r="J49" s="266">
        <v>1</v>
      </c>
      <c r="K49" s="264" t="s">
        <v>4</v>
      </c>
      <c r="L49" s="267" t="e">
        <f>H49*J49</f>
        <v>#N/A</v>
      </c>
      <c r="M49" s="264" t="s">
        <v>4</v>
      </c>
      <c r="N49" s="267" t="e">
        <f>L49^2</f>
        <v>#N/A</v>
      </c>
      <c r="O49" s="263"/>
      <c r="P49" s="263" t="s">
        <v>5</v>
      </c>
      <c r="Q49" s="268">
        <v>2</v>
      </c>
      <c r="R49" s="26"/>
    </row>
    <row r="50" spans="1:18" s="44" customFormat="1" ht="39.950000000000003" customHeight="1" thickBot="1" x14ac:dyDescent="0.25">
      <c r="K50" s="121"/>
      <c r="L50" s="33"/>
      <c r="M50" s="275"/>
      <c r="N50" s="325" t="e">
        <f>SQRT(SUM(N42:N45,N47,N48,N49))</f>
        <v>#N/A</v>
      </c>
      <c r="O50" s="276" t="s">
        <v>4</v>
      </c>
      <c r="P50" s="34"/>
    </row>
    <row r="51" spans="1:18" s="44" customFormat="1" ht="39.950000000000003" customHeight="1" thickBot="1" x14ac:dyDescent="0.25">
      <c r="K51" s="123"/>
      <c r="L51" s="33"/>
      <c r="M51" s="124" t="s">
        <v>123</v>
      </c>
      <c r="N51" s="279" t="e">
        <f>N50*O53</f>
        <v>#N/A</v>
      </c>
      <c r="O51" s="280" t="s">
        <v>4</v>
      </c>
      <c r="P51" s="33"/>
    </row>
    <row r="52" spans="1:18" s="44" customFormat="1" ht="39.950000000000003" customHeight="1" thickBot="1" x14ac:dyDescent="0.25">
      <c r="L52" s="92"/>
      <c r="N52" s="277"/>
      <c r="O52" s="278" t="s">
        <v>97</v>
      </c>
      <c r="P52" s="125"/>
    </row>
    <row r="53" spans="1:18" s="44" customFormat="1" ht="39.950000000000003" customHeight="1" thickBot="1" x14ac:dyDescent="0.25">
      <c r="A53" s="126"/>
      <c r="L53" s="249" t="s">
        <v>399</v>
      </c>
      <c r="M53" s="250"/>
      <c r="N53" s="312" t="e">
        <f>(N50^4)/((L43^4/Q43)+(L44^4/Q44)+(L49^4/Q49))</f>
        <v>#N/A</v>
      </c>
      <c r="O53" s="273" t="e">
        <f>_xlfn.T.INV.2T(0.05,N53)</f>
        <v>#N/A</v>
      </c>
      <c r="P53" s="274" t="e">
        <f>TINV(0.05,N53)</f>
        <v>#N/A</v>
      </c>
    </row>
    <row r="54" spans="1:18" s="44" customFormat="1" ht="39.950000000000003" customHeight="1" thickBot="1" x14ac:dyDescent="0.25">
      <c r="B54" s="1594" t="s">
        <v>124</v>
      </c>
      <c r="C54" s="1595"/>
      <c r="D54" s="1595"/>
      <c r="E54" s="1595"/>
      <c r="F54" s="1595"/>
      <c r="G54" s="1596"/>
      <c r="I54" s="132" t="s">
        <v>286</v>
      </c>
      <c r="O54" s="184"/>
    </row>
    <row r="55" spans="1:18" s="44" customFormat="1" ht="39.950000000000003" customHeight="1" thickBot="1" x14ac:dyDescent="0.25">
      <c r="B55" s="281" t="s">
        <v>63</v>
      </c>
      <c r="C55" s="282" t="s">
        <v>400</v>
      </c>
      <c r="D55" s="282" t="s">
        <v>401</v>
      </c>
      <c r="E55" s="283" t="s">
        <v>97</v>
      </c>
      <c r="F55" s="282" t="s">
        <v>7</v>
      </c>
      <c r="G55" s="284" t="s">
        <v>312</v>
      </c>
      <c r="I55" s="331"/>
    </row>
    <row r="56" spans="1:18" s="44" customFormat="1" ht="39.950000000000003" customHeight="1" x14ac:dyDescent="0.2">
      <c r="B56" s="133" t="s">
        <v>4</v>
      </c>
      <c r="C56" s="285" t="e">
        <f>V14</f>
        <v>#N/A</v>
      </c>
      <c r="D56" s="286" t="e">
        <f>N50</f>
        <v>#N/A</v>
      </c>
      <c r="E56" s="1587">
        <v>2</v>
      </c>
      <c r="F56" s="287" t="e">
        <f>D56*E56</f>
        <v>#N/A</v>
      </c>
      <c r="G56" s="1584">
        <v>95</v>
      </c>
    </row>
    <row r="57" spans="1:18" s="44" customFormat="1" ht="39.950000000000003" customHeight="1" x14ac:dyDescent="0.2">
      <c r="B57" s="135" t="s">
        <v>219</v>
      </c>
      <c r="C57" s="138" t="e">
        <f>C56/J22</f>
        <v>#N/A</v>
      </c>
      <c r="D57" s="181" t="e">
        <f>C57/J22</f>
        <v>#N/A</v>
      </c>
      <c r="E57" s="1588"/>
      <c r="F57" s="288" t="e">
        <f>F56/J22</f>
        <v>#N/A</v>
      </c>
      <c r="G57" s="1585"/>
    </row>
    <row r="58" spans="1:18" s="44" customFormat="1" ht="39.950000000000003" customHeight="1" thickBot="1" x14ac:dyDescent="0.25">
      <c r="B58" s="136" t="s">
        <v>288</v>
      </c>
      <c r="C58" s="137" t="e">
        <f>(C57*100)/K20</f>
        <v>#N/A</v>
      </c>
      <c r="D58" s="182" t="e">
        <f>(D57*100)/1155</f>
        <v>#N/A</v>
      </c>
      <c r="E58" s="1589"/>
      <c r="F58" s="289" t="e">
        <f>(F57*100)/K20</f>
        <v>#N/A</v>
      </c>
      <c r="G58" s="1586"/>
    </row>
    <row r="59" spans="1:18" s="44" customFormat="1" x14ac:dyDescent="0.2"/>
    <row r="60" spans="1:18" s="44" customFormat="1" x14ac:dyDescent="0.2"/>
    <row r="61" spans="1:18" s="44" customFormat="1" x14ac:dyDescent="0.2"/>
  </sheetData>
  <sheetProtection password="CF5C" sheet="1" objects="1" scenarios="1"/>
  <dataConsolidate/>
  <mergeCells count="44">
    <mergeCell ref="G17:K17"/>
    <mergeCell ref="G56:G58"/>
    <mergeCell ref="E56:E58"/>
    <mergeCell ref="R11:R13"/>
    <mergeCell ref="Q8:Q10"/>
    <mergeCell ref="B54:G54"/>
    <mergeCell ref="B11:C11"/>
    <mergeCell ref="D11:E11"/>
    <mergeCell ref="B10:E10"/>
    <mergeCell ref="J8:K8"/>
    <mergeCell ref="Q11:Q13"/>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A42:A44"/>
    <mergeCell ref="B45:C45"/>
    <mergeCell ref="B44:C44"/>
    <mergeCell ref="B43:C43"/>
    <mergeCell ref="B42:C42"/>
    <mergeCell ref="A1:B1"/>
    <mergeCell ref="L6:P7"/>
    <mergeCell ref="D3:E3"/>
    <mergeCell ref="G3:H3"/>
    <mergeCell ref="J3:K3"/>
    <mergeCell ref="P3:R3"/>
    <mergeCell ref="Q6:V7"/>
    <mergeCell ref="A6:G6"/>
    <mergeCell ref="H6:I6"/>
    <mergeCell ref="J6:K6"/>
    <mergeCell ref="H7:I7"/>
    <mergeCell ref="D1:W1"/>
  </mergeCells>
  <pageMargins left="0.70866141732283472" right="0.70866141732283472" top="0.74803149606299213" bottom="0.74803149606299213" header="0.31496062992125984" footer="0.31496062992125984"/>
  <pageSetup scale="10" orientation="landscape" horizontalDpi="4294967293" r:id="rId1"/>
  <headerFooter>
    <oddFooter>&amp;RRT03-F11 Vr.8(2020-04-27)</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view="pageBreakPreview" zoomScale="70" zoomScaleNormal="100" zoomScaleSheetLayoutView="70" workbookViewId="0">
      <selection activeCell="J10" sqref="J10:K10"/>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43"/>
      <c r="B1" s="1643"/>
      <c r="C1" s="1643"/>
      <c r="D1" s="1643"/>
      <c r="E1" s="1643"/>
      <c r="F1" s="1643"/>
      <c r="G1" s="1643"/>
      <c r="H1" s="1643"/>
      <c r="I1" s="1643"/>
      <c r="J1" s="1643"/>
      <c r="K1" s="1643"/>
    </row>
    <row r="2" spans="1:11" ht="24.95" customHeight="1" x14ac:dyDescent="0.25">
      <c r="A2" s="965"/>
      <c r="B2" s="965"/>
      <c r="C2" s="965"/>
      <c r="D2" s="965"/>
      <c r="E2" s="965"/>
      <c r="F2" s="965"/>
      <c r="G2" s="965"/>
      <c r="H2" s="333"/>
      <c r="I2" s="1031" t="s">
        <v>314</v>
      </c>
      <c r="J2" s="1649" t="str">
        <f>'DATOS @'!N15</f>
        <v>LCV-XXX-XX</v>
      </c>
      <c r="K2" s="1649"/>
    </row>
    <row r="3" spans="1:11" ht="24.95" customHeight="1" x14ac:dyDescent="0.25">
      <c r="A3" s="965"/>
      <c r="B3" s="965"/>
      <c r="C3" s="965"/>
      <c r="D3" s="965"/>
      <c r="E3" s="965"/>
      <c r="F3" s="965"/>
      <c r="G3" s="965"/>
      <c r="H3" s="333"/>
      <c r="I3" s="1031"/>
      <c r="J3" s="972"/>
      <c r="K3" s="972"/>
    </row>
    <row r="4" spans="1:11" ht="26.1" customHeight="1" x14ac:dyDescent="0.25">
      <c r="A4" s="1637" t="s">
        <v>44</v>
      </c>
      <c r="B4" s="1637"/>
      <c r="C4" s="1637"/>
      <c r="D4" s="1637"/>
      <c r="E4" s="334"/>
      <c r="F4" s="162"/>
    </row>
    <row r="5" spans="1:11" ht="18" customHeight="1" x14ac:dyDescent="0.25">
      <c r="A5" s="335"/>
      <c r="B5" s="335"/>
      <c r="C5" s="335"/>
      <c r="D5" s="162"/>
      <c r="E5" s="162"/>
      <c r="F5" s="162"/>
    </row>
    <row r="6" spans="1:11" ht="26.1" customHeight="1" x14ac:dyDescent="0.25">
      <c r="A6" s="1613" t="s">
        <v>450</v>
      </c>
      <c r="B6" s="1613"/>
      <c r="C6" s="962"/>
      <c r="D6" s="1653">
        <f>'DATOS @'!K8</f>
        <v>0</v>
      </c>
      <c r="E6" s="1653"/>
      <c r="F6" s="1653"/>
      <c r="G6" s="1653"/>
      <c r="H6" s="1653"/>
      <c r="I6" s="1653"/>
      <c r="J6" s="1653"/>
      <c r="K6" s="1653"/>
    </row>
    <row r="7" spans="1:11" ht="26.1" customHeight="1" x14ac:dyDescent="0.25">
      <c r="A7" s="1644" t="s">
        <v>451</v>
      </c>
      <c r="B7" s="1644"/>
      <c r="C7" s="966"/>
      <c r="D7" s="1653">
        <f>'DATOS @'!L8</f>
        <v>0</v>
      </c>
      <c r="E7" s="1653"/>
      <c r="F7" s="1653"/>
      <c r="G7" s="1653"/>
      <c r="H7" s="1653"/>
      <c r="I7" s="1653"/>
      <c r="J7" s="1653"/>
      <c r="K7" s="1653"/>
    </row>
    <row r="8" spans="1:11" ht="26.1" customHeight="1" x14ac:dyDescent="0.25">
      <c r="A8" s="1644" t="s">
        <v>476</v>
      </c>
      <c r="B8" s="1644"/>
      <c r="C8" s="966"/>
      <c r="D8" s="1653">
        <f>'DATOS @'!M8</f>
        <v>0</v>
      </c>
      <c r="E8" s="1653"/>
      <c r="F8" s="1653"/>
      <c r="G8" s="1653"/>
      <c r="H8" s="1653"/>
      <c r="I8" s="1653"/>
      <c r="J8" s="1653"/>
      <c r="K8" s="1653"/>
    </row>
    <row r="9" spans="1:11" ht="26.1" customHeight="1" x14ac:dyDescent="0.25">
      <c r="A9" s="961"/>
      <c r="B9" s="961"/>
      <c r="C9" s="335"/>
      <c r="D9" s="162"/>
      <c r="E9" s="162"/>
      <c r="F9" s="162"/>
      <c r="G9" s="162"/>
    </row>
    <row r="10" spans="1:11" ht="26.1" customHeight="1" x14ac:dyDescent="0.25">
      <c r="A10" s="1613" t="s">
        <v>452</v>
      </c>
      <c r="B10" s="1613"/>
      <c r="C10" s="1613"/>
      <c r="D10" s="1613"/>
      <c r="E10" s="1641" t="e">
        <f>'RT03-F11 @ '!D3</f>
        <v>#N/A</v>
      </c>
      <c r="F10" s="1641"/>
      <c r="H10" s="1651" t="s">
        <v>453</v>
      </c>
      <c r="I10" s="1651"/>
      <c r="J10" s="1641">
        <f>'DATOS @'!I8</f>
        <v>0</v>
      </c>
      <c r="K10" s="1641"/>
    </row>
    <row r="11" spans="1:11" ht="26.1" customHeight="1" x14ac:dyDescent="0.25">
      <c r="A11" s="1636"/>
      <c r="B11" s="1636"/>
      <c r="C11" s="336"/>
      <c r="D11" s="1636"/>
      <c r="E11" s="1636"/>
      <c r="F11" s="1636"/>
      <c r="I11" s="337"/>
      <c r="J11" s="337"/>
      <c r="K11" s="337"/>
    </row>
    <row r="12" spans="1:11" ht="26.1" customHeight="1" x14ac:dyDescent="0.25">
      <c r="A12" s="1637" t="s">
        <v>47</v>
      </c>
      <c r="B12" s="1637"/>
      <c r="C12" s="1637"/>
      <c r="D12" s="1637"/>
      <c r="E12" s="1637"/>
      <c r="F12" s="1637"/>
      <c r="G12" s="1637"/>
      <c r="H12" s="1637"/>
      <c r="I12" s="1637"/>
      <c r="J12" s="1637"/>
      <c r="K12" s="337"/>
    </row>
    <row r="13" spans="1:11" ht="18" customHeight="1" x14ac:dyDescent="0.25">
      <c r="A13" s="962"/>
      <c r="B13" s="962"/>
      <c r="C13" s="962"/>
      <c r="D13" s="962"/>
      <c r="E13" s="962"/>
      <c r="F13" s="338"/>
      <c r="G13" s="148"/>
      <c r="H13" s="148"/>
      <c r="I13" s="145"/>
      <c r="J13" s="145"/>
      <c r="K13" s="337"/>
    </row>
    <row r="14" spans="1:11" ht="26.1" customHeight="1" x14ac:dyDescent="0.25">
      <c r="A14" s="1613" t="s">
        <v>25</v>
      </c>
      <c r="B14" s="1613"/>
      <c r="C14" s="1613"/>
      <c r="D14" s="1613"/>
      <c r="E14" s="1646" t="s">
        <v>443</v>
      </c>
      <c r="F14" s="1646"/>
      <c r="G14" s="1646"/>
      <c r="H14" s="1646"/>
      <c r="I14" s="145"/>
      <c r="J14" s="145"/>
      <c r="K14" s="337"/>
    </row>
    <row r="15" spans="1:11" ht="26.1" customHeight="1" x14ac:dyDescent="0.25">
      <c r="A15" s="1613" t="s">
        <v>360</v>
      </c>
      <c r="B15" s="1613"/>
      <c r="C15" s="1613"/>
      <c r="D15" s="1613"/>
      <c r="E15" s="1647">
        <f>'DATOS @'!C15</f>
        <v>0</v>
      </c>
      <c r="F15" s="1647"/>
      <c r="G15" s="1647"/>
      <c r="H15" s="1647"/>
      <c r="I15" s="967"/>
      <c r="J15" s="145"/>
      <c r="K15" s="337"/>
    </row>
    <row r="16" spans="1:11" ht="26.1" customHeight="1" x14ac:dyDescent="0.25">
      <c r="A16" s="1613" t="s">
        <v>359</v>
      </c>
      <c r="B16" s="1613"/>
      <c r="C16" s="1613"/>
      <c r="D16" s="1613"/>
      <c r="E16" s="1647">
        <f>'DATOS @'!E15</f>
        <v>0</v>
      </c>
      <c r="F16" s="1647"/>
      <c r="G16" s="1647"/>
      <c r="H16" s="1647"/>
      <c r="I16" s="967"/>
      <c r="J16" s="145"/>
      <c r="K16" s="337"/>
    </row>
    <row r="17" spans="1:25" ht="26.1" customHeight="1" x14ac:dyDescent="0.25">
      <c r="A17" s="1642" t="s">
        <v>329</v>
      </c>
      <c r="B17" s="1642"/>
      <c r="C17" s="1642"/>
      <c r="D17" s="1642"/>
      <c r="E17" s="1640">
        <f>'DATOS @'!D15</f>
        <v>0</v>
      </c>
      <c r="F17" s="1640"/>
      <c r="G17" s="1640"/>
      <c r="H17" s="1640"/>
      <c r="I17" s="967"/>
      <c r="J17" s="145"/>
      <c r="K17" s="337"/>
    </row>
    <row r="18" spans="1:25" ht="26.1" customHeight="1" x14ac:dyDescent="0.25">
      <c r="A18" s="1642" t="s">
        <v>35</v>
      </c>
      <c r="B18" s="1642"/>
      <c r="C18" s="1642"/>
      <c r="D18" s="1642"/>
      <c r="E18" s="1646" t="s">
        <v>408</v>
      </c>
      <c r="F18" s="1646"/>
      <c r="G18" s="1646"/>
      <c r="H18" s="1646"/>
      <c r="I18" s="967"/>
      <c r="J18" s="145"/>
      <c r="K18" s="337"/>
    </row>
    <row r="19" spans="1:25" ht="26.1" customHeight="1" x14ac:dyDescent="0.25">
      <c r="A19" s="1642" t="s">
        <v>361</v>
      </c>
      <c r="B19" s="1642"/>
      <c r="C19" s="1642"/>
      <c r="D19" s="1642"/>
      <c r="E19" s="1646" t="s">
        <v>346</v>
      </c>
      <c r="F19" s="1646"/>
      <c r="G19" s="1646"/>
      <c r="H19" s="1646"/>
      <c r="I19" s="967"/>
      <c r="J19" s="148"/>
    </row>
    <row r="20" spans="1:25" ht="26.1" customHeight="1" x14ac:dyDescent="0.25">
      <c r="A20" s="1642" t="s">
        <v>362</v>
      </c>
      <c r="B20" s="1642"/>
      <c r="C20" s="1642"/>
      <c r="D20" s="1642"/>
      <c r="E20" s="1646" t="s">
        <v>346</v>
      </c>
      <c r="F20" s="1646"/>
      <c r="G20" s="1646"/>
      <c r="H20" s="1646"/>
      <c r="I20" s="967"/>
      <c r="J20" s="148"/>
    </row>
    <row r="21" spans="1:25" ht="26.1" customHeight="1" x14ac:dyDescent="0.25">
      <c r="A21" s="1642" t="s">
        <v>358</v>
      </c>
      <c r="B21" s="1642"/>
      <c r="C21" s="1642"/>
      <c r="D21" s="1642"/>
      <c r="E21" s="1044" t="str">
        <f>'DATOS @'!G15</f>
        <v>5 gal</v>
      </c>
      <c r="F21" s="1045"/>
      <c r="G21" s="1045"/>
      <c r="H21" s="1045"/>
      <c r="I21" s="967"/>
      <c r="J21" s="148"/>
      <c r="S21" s="1636"/>
      <c r="T21" s="1636"/>
      <c r="U21" s="1636"/>
      <c r="V21" s="1636"/>
      <c r="W21" s="1636"/>
    </row>
    <row r="22" spans="1:25" ht="26.1" customHeight="1" x14ac:dyDescent="0.25">
      <c r="A22" s="1642" t="s">
        <v>237</v>
      </c>
      <c r="B22" s="1642"/>
      <c r="C22" s="1642"/>
      <c r="D22" s="1642"/>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42" t="s">
        <v>328</v>
      </c>
      <c r="B23" s="1642"/>
      <c r="C23" s="1642"/>
      <c r="D23" s="1642"/>
      <c r="E23" s="1646" t="s">
        <v>363</v>
      </c>
      <c r="F23" s="1646"/>
      <c r="G23" s="1646"/>
      <c r="H23" s="1646"/>
      <c r="I23" s="967"/>
      <c r="J23" s="341"/>
      <c r="S23" s="1638"/>
      <c r="T23" s="1639"/>
      <c r="U23" s="1639"/>
      <c r="W23" s="1636"/>
      <c r="X23" s="1636"/>
      <c r="Y23" s="1636"/>
    </row>
    <row r="24" spans="1:25" ht="26.1" customHeight="1" x14ac:dyDescent="0.25">
      <c r="A24" s="1636"/>
      <c r="B24" s="1636"/>
      <c r="C24" s="1636"/>
      <c r="D24" s="1636"/>
      <c r="E24" s="1650"/>
      <c r="F24" s="1650"/>
      <c r="G24" s="1650"/>
      <c r="H24" s="1650"/>
      <c r="I24" s="974"/>
    </row>
    <row r="25" spans="1:25" ht="23.1" customHeight="1" x14ac:dyDescent="0.25">
      <c r="A25" s="1637" t="s">
        <v>151</v>
      </c>
      <c r="B25" s="1637"/>
      <c r="C25" s="1637"/>
      <c r="D25" s="1637"/>
      <c r="E25" s="1637"/>
      <c r="F25" s="1637"/>
      <c r="G25" s="1637"/>
      <c r="H25" s="1637"/>
      <c r="I25" s="1637"/>
      <c r="J25" s="1637"/>
      <c r="K25" s="1637"/>
    </row>
    <row r="26" spans="1:25" ht="18" customHeight="1" x14ac:dyDescent="0.25">
      <c r="A26" s="148"/>
      <c r="B26" s="148"/>
      <c r="C26" s="148"/>
      <c r="D26" s="148"/>
      <c r="E26" s="148"/>
      <c r="F26" s="148"/>
      <c r="G26" s="148"/>
      <c r="H26" s="148"/>
      <c r="I26" s="148"/>
      <c r="J26" s="148"/>
      <c r="K26" s="148"/>
    </row>
    <row r="27" spans="1:25" ht="23.1" customHeight="1" x14ac:dyDescent="0.25">
      <c r="A27" s="1645" t="str">
        <f>'DATOS @'!G8</f>
        <v>Laboratorio de calibración de masa y volumen, avenida carrera  50 # 26-55 Int 2,  piso 5.</v>
      </c>
      <c r="B27" s="1645"/>
      <c r="C27" s="1645"/>
      <c r="D27" s="1645"/>
      <c r="E27" s="1645"/>
      <c r="F27" s="1645"/>
      <c r="G27" s="1645"/>
      <c r="H27" s="1645"/>
      <c r="I27" s="1645"/>
      <c r="J27" s="1645"/>
      <c r="K27" s="1645"/>
    </row>
    <row r="28" spans="1:25" ht="26.1" customHeight="1" x14ac:dyDescent="0.25">
      <c r="A28" s="1648"/>
      <c r="B28" s="1648"/>
      <c r="C28" s="1648"/>
      <c r="D28" s="1648"/>
      <c r="E28" s="1648"/>
      <c r="F28" s="1648"/>
      <c r="G28" s="1648"/>
      <c r="H28" s="1648"/>
      <c r="I28" s="1648"/>
      <c r="J28" s="1648"/>
      <c r="K28" s="1648"/>
    </row>
    <row r="29" spans="1:25" ht="23.1" customHeight="1" x14ac:dyDescent="0.25">
      <c r="A29" s="1637" t="s">
        <v>318</v>
      </c>
      <c r="B29" s="1637"/>
      <c r="C29" s="1637"/>
      <c r="D29" s="1637"/>
      <c r="E29" s="1645" t="str">
        <f>'DATOS @'!J8</f>
        <v>LCV-radicado</v>
      </c>
      <c r="F29" s="1645"/>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03" t="s">
        <v>364</v>
      </c>
      <c r="B31" s="1603"/>
      <c r="C31" s="1603"/>
      <c r="D31" s="1603"/>
      <c r="E31" s="1603"/>
      <c r="F31" s="1603"/>
      <c r="G31" s="1603"/>
      <c r="H31" s="1603"/>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344"/>
      <c r="H41" s="333"/>
      <c r="I41" s="1030" t="s">
        <v>314</v>
      </c>
      <c r="J41" s="1691" t="str">
        <f>J2</f>
        <v>LCV-XXX-XX</v>
      </c>
      <c r="K41" s="1691"/>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94" t="s">
        <v>40</v>
      </c>
      <c r="B46" s="1694"/>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6" t="s">
        <v>39</v>
      </c>
      <c r="D48" s="1606"/>
      <c r="E48" s="1606"/>
      <c r="F48" s="1606"/>
      <c r="G48" s="1606"/>
      <c r="H48" s="1606"/>
      <c r="I48" s="1606"/>
      <c r="J48" s="1606"/>
      <c r="K48" s="1606"/>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07" t="s">
        <v>315</v>
      </c>
      <c r="D50" s="1607"/>
      <c r="E50" s="1607"/>
      <c r="F50" s="1607"/>
      <c r="G50" s="1607"/>
      <c r="H50" s="1607"/>
      <c r="I50" s="1607"/>
      <c r="J50" s="1607"/>
      <c r="K50" s="1607"/>
    </row>
    <row r="51" spans="1:11" s="348" customFormat="1" ht="15.95" customHeight="1" x14ac:dyDescent="0.2">
      <c r="A51" s="346"/>
      <c r="B51" s="353"/>
      <c r="C51" s="1607"/>
      <c r="D51" s="1607"/>
      <c r="E51" s="1607"/>
      <c r="F51" s="1607"/>
      <c r="G51" s="1607"/>
      <c r="H51" s="1607"/>
      <c r="I51" s="1607"/>
      <c r="J51" s="1607"/>
      <c r="K51" s="1607"/>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6" t="s">
        <v>48</v>
      </c>
      <c r="D53" s="1606"/>
      <c r="E53" s="1606"/>
      <c r="F53" s="1606"/>
      <c r="G53" s="1606"/>
      <c r="H53" s="1606"/>
      <c r="I53" s="1606"/>
      <c r="J53" s="1606"/>
      <c r="K53" s="1606"/>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07" t="s">
        <v>316</v>
      </c>
      <c r="D55" s="1607"/>
      <c r="E55" s="1607"/>
      <c r="F55" s="1607"/>
      <c r="G55" s="1607"/>
      <c r="H55" s="1607"/>
      <c r="I55" s="1607"/>
      <c r="J55" s="1607"/>
      <c r="K55" s="1607"/>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07" t="s">
        <v>49</v>
      </c>
      <c r="D57" s="1607"/>
      <c r="E57" s="1607"/>
      <c r="F57" s="1607"/>
      <c r="G57" s="1607"/>
      <c r="H57" s="1607"/>
      <c r="I57" s="1607"/>
      <c r="J57" s="1607"/>
      <c r="K57" s="1607"/>
    </row>
    <row r="58" spans="1:11" s="348" customFormat="1" ht="12.95" customHeight="1" x14ac:dyDescent="0.2">
      <c r="A58" s="346"/>
      <c r="B58" s="346"/>
      <c r="C58" s="1607"/>
      <c r="D58" s="1607"/>
      <c r="E58" s="1607"/>
      <c r="F58" s="1607"/>
      <c r="G58" s="1607"/>
      <c r="H58" s="1607"/>
      <c r="I58" s="1607"/>
      <c r="J58" s="1607"/>
      <c r="K58" s="1032"/>
    </row>
    <row r="59" spans="1:11" s="348" customFormat="1" ht="24.95" customHeight="1" x14ac:dyDescent="0.2">
      <c r="A59" s="346"/>
      <c r="B59" s="348" t="s">
        <v>12</v>
      </c>
      <c r="C59" s="1607" t="s">
        <v>50</v>
      </c>
      <c r="D59" s="1607"/>
      <c r="E59" s="1607"/>
      <c r="F59" s="1607"/>
      <c r="G59" s="1607"/>
      <c r="H59" s="1607"/>
      <c r="I59" s="1607"/>
      <c r="J59" s="1607"/>
      <c r="K59" s="1607"/>
    </row>
    <row r="60" spans="1:11" s="348" customFormat="1" ht="12.95" customHeight="1" x14ac:dyDescent="0.2">
      <c r="A60" s="346"/>
      <c r="C60" s="1607"/>
      <c r="D60" s="1607"/>
      <c r="E60" s="1607"/>
      <c r="F60" s="1607"/>
      <c r="G60" s="1607"/>
      <c r="H60" s="1607"/>
      <c r="I60" s="1607"/>
      <c r="J60" s="1607"/>
      <c r="K60" s="1032"/>
    </row>
    <row r="61" spans="1:11" s="348" customFormat="1" ht="24.95" customHeight="1" x14ac:dyDescent="0.2">
      <c r="A61" s="346"/>
      <c r="B61" s="346"/>
      <c r="C61" s="1607" t="s">
        <v>51</v>
      </c>
      <c r="D61" s="1607"/>
      <c r="E61" s="1607"/>
      <c r="F61" s="1607"/>
      <c r="G61" s="1607"/>
      <c r="H61" s="1607"/>
      <c r="I61" s="1607"/>
      <c r="J61" s="1607"/>
      <c r="K61" s="1607"/>
    </row>
    <row r="62" spans="1:11" s="348" customFormat="1" ht="12.95" customHeight="1" x14ac:dyDescent="0.2">
      <c r="A62" s="346"/>
      <c r="B62" s="346"/>
      <c r="C62" s="1607"/>
      <c r="D62" s="1607"/>
      <c r="E62" s="1607"/>
      <c r="F62" s="1607"/>
      <c r="G62" s="1607"/>
      <c r="H62" s="1607"/>
      <c r="I62" s="1607"/>
      <c r="J62" s="1607"/>
      <c r="K62" s="1032"/>
    </row>
    <row r="63" spans="1:11" s="348" customFormat="1" ht="24.95" customHeight="1" x14ac:dyDescent="0.2">
      <c r="A63" s="346"/>
      <c r="B63" s="346"/>
      <c r="C63" s="1607" t="s">
        <v>603</v>
      </c>
      <c r="D63" s="1607"/>
      <c r="E63" s="1607"/>
      <c r="F63" s="1607"/>
      <c r="G63" s="1607"/>
      <c r="H63" s="1607"/>
      <c r="I63" s="1607"/>
      <c r="J63" s="1607"/>
      <c r="K63" s="1607"/>
    </row>
    <row r="64" spans="1:11" s="348" customFormat="1" ht="12.95" customHeight="1" x14ac:dyDescent="0.2">
      <c r="A64" s="346"/>
      <c r="B64" s="346"/>
      <c r="C64" s="1607"/>
      <c r="D64" s="1607"/>
      <c r="E64" s="1607"/>
      <c r="F64" s="1607"/>
      <c r="G64" s="1607"/>
      <c r="H64" s="1607"/>
      <c r="I64" s="1607"/>
      <c r="J64" s="1607"/>
      <c r="K64" s="1032"/>
    </row>
    <row r="65" spans="1:12" s="348" customFormat="1" ht="24.95" customHeight="1" x14ac:dyDescent="0.2">
      <c r="A65" s="346"/>
      <c r="B65" s="346"/>
      <c r="C65" s="1607" t="s">
        <v>52</v>
      </c>
      <c r="D65" s="1607"/>
      <c r="E65" s="1607"/>
      <c r="F65" s="1607"/>
      <c r="G65" s="1607"/>
      <c r="H65" s="1607"/>
      <c r="I65" s="1607"/>
      <c r="J65" s="1607"/>
      <c r="K65" s="1607"/>
    </row>
    <row r="66" spans="1:12" s="348" customFormat="1" ht="12.95" customHeight="1" x14ac:dyDescent="0.2">
      <c r="A66" s="346"/>
      <c r="B66" s="346"/>
      <c r="C66" s="1607"/>
      <c r="D66" s="1607"/>
      <c r="E66" s="1607"/>
      <c r="F66" s="1607"/>
      <c r="G66" s="1607"/>
      <c r="H66" s="1607"/>
      <c r="I66" s="1607"/>
      <c r="J66" s="1607"/>
      <c r="K66" s="1032"/>
    </row>
    <row r="67" spans="1:12" s="348" customFormat="1" ht="24.95" customHeight="1" x14ac:dyDescent="0.2">
      <c r="A67" s="346"/>
      <c r="B67" s="346"/>
      <c r="C67" s="1607" t="s">
        <v>454</v>
      </c>
      <c r="D67" s="1607"/>
      <c r="E67" s="1607"/>
      <c r="F67" s="1607"/>
      <c r="G67" s="1607"/>
      <c r="H67" s="1607"/>
      <c r="I67" s="1607"/>
      <c r="J67" s="1607"/>
      <c r="K67" s="1032"/>
    </row>
    <row r="68" spans="1:12" s="348" customFormat="1" ht="12.95" customHeight="1" x14ac:dyDescent="0.25">
      <c r="A68" s="346"/>
      <c r="B68" s="346"/>
      <c r="C68" s="1607"/>
      <c r="D68" s="1607"/>
      <c r="E68" s="1607"/>
      <c r="F68" s="1607"/>
      <c r="G68" s="1607"/>
      <c r="H68" s="1607"/>
      <c r="I68" s="1607"/>
      <c r="J68" s="1607"/>
      <c r="K68" s="1032"/>
      <c r="L68" s="151"/>
    </row>
    <row r="69" spans="1:12" s="348" customFormat="1" ht="24.95" customHeight="1" x14ac:dyDescent="0.25">
      <c r="A69" s="346"/>
      <c r="B69" s="346"/>
      <c r="C69" s="1606" t="s">
        <v>455</v>
      </c>
      <c r="D69" s="1606"/>
      <c r="E69" s="1606"/>
      <c r="F69" s="1606"/>
      <c r="G69" s="1606"/>
      <c r="H69" s="1606"/>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6" t="s">
        <v>456</v>
      </c>
      <c r="D71" s="1606"/>
      <c r="E71" s="1606"/>
      <c r="F71" s="1606"/>
      <c r="G71" s="1606"/>
      <c r="H71" s="1606"/>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03" t="s">
        <v>365</v>
      </c>
      <c r="B74" s="1603"/>
      <c r="C74" s="1603"/>
      <c r="D74" s="1603"/>
      <c r="E74" s="1603"/>
      <c r="F74" s="974"/>
      <c r="G74" s="974"/>
    </row>
    <row r="75" spans="1:12" ht="15.95" customHeight="1" x14ac:dyDescent="0.25">
      <c r="A75" s="355"/>
      <c r="B75" s="355"/>
      <c r="C75" s="355"/>
      <c r="D75" s="355"/>
      <c r="E75" s="355"/>
      <c r="F75" s="974"/>
      <c r="G75" s="974"/>
      <c r="H75" s="974"/>
      <c r="I75" s="974"/>
      <c r="J75" s="356"/>
    </row>
    <row r="76" spans="1:12" ht="15" customHeight="1" x14ac:dyDescent="0.25">
      <c r="A76" s="1628" t="s">
        <v>366</v>
      </c>
      <c r="B76" s="1628"/>
      <c r="C76" s="1628"/>
      <c r="D76" s="1628"/>
      <c r="E76" s="1628"/>
      <c r="F76" s="1628"/>
      <c r="G76" s="1628"/>
      <c r="H76" s="1628"/>
      <c r="I76" s="1628"/>
      <c r="J76" s="1628"/>
      <c r="K76" s="1628"/>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60" t="s">
        <v>287</v>
      </c>
      <c r="C78" s="1660"/>
      <c r="D78" s="1660"/>
      <c r="E78" s="1660" t="s">
        <v>480</v>
      </c>
      <c r="F78" s="1660"/>
      <c r="G78" s="1660"/>
      <c r="H78" s="1660" t="s">
        <v>34</v>
      </c>
      <c r="I78" s="1660"/>
      <c r="J78" s="959"/>
      <c r="K78" s="148"/>
    </row>
    <row r="79" spans="1:12" ht="20.100000000000001" customHeight="1" thickBot="1" x14ac:dyDescent="0.3">
      <c r="A79" s="964"/>
      <c r="B79" s="1663" t="e">
        <f>'RT03-F11 @ '!P37</f>
        <v>#DIV/0!</v>
      </c>
      <c r="C79" s="1663"/>
      <c r="D79" s="1663"/>
      <c r="E79" s="1662" t="e">
        <f>'RT03-F11 @ '!P38</f>
        <v>#DIV/0!</v>
      </c>
      <c r="F79" s="1662"/>
      <c r="G79" s="1662"/>
      <c r="H79" s="1661" t="e">
        <f>'RT03-F11 @ '!P39</f>
        <v>#DIV/0!</v>
      </c>
      <c r="I79" s="1661"/>
      <c r="J79" s="959"/>
      <c r="K79" s="148"/>
    </row>
    <row r="80" spans="1:12" ht="24.95" customHeight="1" x14ac:dyDescent="0.25">
      <c r="A80" s="974"/>
      <c r="B80" s="974"/>
      <c r="C80" s="336"/>
      <c r="D80" s="974"/>
      <c r="E80" s="974"/>
      <c r="F80" s="974"/>
      <c r="G80" s="974"/>
      <c r="H80" s="974"/>
      <c r="I80" s="974"/>
      <c r="J80" s="356"/>
    </row>
    <row r="81" spans="1:11" ht="24.95" customHeight="1" x14ac:dyDescent="0.25">
      <c r="A81" s="1603" t="s">
        <v>367</v>
      </c>
      <c r="B81" s="1603"/>
      <c r="C81" s="1603"/>
      <c r="D81" s="1603"/>
      <c r="E81" s="1603"/>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08" t="s">
        <v>494</v>
      </c>
      <c r="B83" s="1608"/>
      <c r="C83" s="1608"/>
      <c r="D83" s="1608"/>
      <c r="E83" s="1608"/>
      <c r="F83" s="1608"/>
      <c r="G83" s="1608"/>
      <c r="H83" s="1608"/>
      <c r="I83" s="1608"/>
      <c r="J83" s="1608"/>
      <c r="K83" s="1608"/>
    </row>
    <row r="84" spans="1:11" ht="17.100000000000001" customHeight="1" x14ac:dyDescent="0.25">
      <c r="A84" s="1608"/>
      <c r="B84" s="1608"/>
      <c r="C84" s="1608"/>
      <c r="D84" s="1608"/>
      <c r="E84" s="1608"/>
      <c r="F84" s="1608"/>
      <c r="G84" s="1608"/>
      <c r="H84" s="1608"/>
      <c r="I84" s="1608"/>
      <c r="J84" s="1608"/>
      <c r="K84" s="1608"/>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358"/>
      <c r="H87" s="333"/>
      <c r="I87" s="1030" t="s">
        <v>314</v>
      </c>
      <c r="J87" s="1649" t="str">
        <f>J2</f>
        <v>LCV-XXX-XX</v>
      </c>
      <c r="K87" s="1649"/>
    </row>
    <row r="88" spans="1:11" s="361" customFormat="1" ht="24.95" customHeight="1" x14ac:dyDescent="0.3">
      <c r="A88" s="1603" t="s">
        <v>368</v>
      </c>
      <c r="B88" s="1603"/>
      <c r="C88" s="1603"/>
      <c r="D88" s="1603"/>
      <c r="E88" s="1603"/>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08" t="s">
        <v>356</v>
      </c>
      <c r="B90" s="1608"/>
      <c r="C90" s="1608"/>
      <c r="D90" s="1608"/>
      <c r="E90" s="1608"/>
      <c r="F90" s="1608"/>
      <c r="G90" s="1608"/>
      <c r="H90" s="1608"/>
      <c r="I90" s="1608"/>
      <c r="J90" s="1608"/>
      <c r="K90" s="1608"/>
    </row>
    <row r="91" spans="1:11" ht="15.95" customHeight="1" thickBot="1" x14ac:dyDescent="0.3">
      <c r="A91" s="363"/>
      <c r="B91" s="363"/>
      <c r="C91" s="363"/>
      <c r="D91" s="363"/>
      <c r="E91" s="363"/>
      <c r="F91" s="363"/>
      <c r="G91" s="363"/>
      <c r="H91" s="363"/>
      <c r="I91" s="363"/>
      <c r="J91" s="363"/>
    </row>
    <row r="92" spans="1:11" ht="33" customHeight="1" thickBot="1" x14ac:dyDescent="0.3">
      <c r="A92" s="1614" t="s">
        <v>53</v>
      </c>
      <c r="B92" s="1615"/>
      <c r="C92" s="1616"/>
      <c r="D92" s="960" t="s">
        <v>37</v>
      </c>
      <c r="E92" s="1611" t="s">
        <v>357</v>
      </c>
      <c r="F92" s="1629"/>
      <c r="G92" s="1614" t="s">
        <v>54</v>
      </c>
      <c r="H92" s="1615"/>
      <c r="I92" s="1614" t="s">
        <v>55</v>
      </c>
      <c r="J92" s="1616"/>
      <c r="K92" s="364"/>
    </row>
    <row r="93" spans="1:11" ht="33" customHeight="1" x14ac:dyDescent="0.25">
      <c r="A93" s="1604" t="s">
        <v>409</v>
      </c>
      <c r="B93" s="1605"/>
      <c r="C93" s="1605"/>
      <c r="D93" s="1042" t="str">
        <f>'DATOS @'!D31</f>
        <v>Serhapin test Measure</v>
      </c>
      <c r="E93" s="1626" t="s">
        <v>457</v>
      </c>
      <c r="F93" s="1627"/>
      <c r="G93" s="1609" t="str">
        <f>'DATOS @'!E31</f>
        <v xml:space="preserve">16-5935702    C-I V-005         </v>
      </c>
      <c r="H93" s="1652"/>
      <c r="I93" s="1609" t="str">
        <f>'DATOS @'!L31</f>
        <v>INM 3688</v>
      </c>
      <c r="J93" s="1610"/>
      <c r="K93" s="364"/>
    </row>
    <row r="94" spans="1:11" ht="33" customHeight="1" x14ac:dyDescent="0.25">
      <c r="A94" s="1657" t="s">
        <v>339</v>
      </c>
      <c r="B94" s="1658"/>
      <c r="C94" s="1658"/>
      <c r="D94" s="1043" t="str">
        <f>'DATOS @'!D38</f>
        <v xml:space="preserve">Lufft </v>
      </c>
      <c r="E94" s="1618" t="s">
        <v>464</v>
      </c>
      <c r="F94" s="1619"/>
      <c r="G94" s="1630" t="str">
        <f>'DATOS @'!E44</f>
        <v xml:space="preserve">004,0816,1212,006 / pt 347980,002     </v>
      </c>
      <c r="H94" s="1635"/>
      <c r="I94" s="1630" t="str">
        <f>'DATOS @'!L44</f>
        <v>INM 3934</v>
      </c>
      <c r="J94" s="1631"/>
      <c r="K94" s="364"/>
    </row>
    <row r="95" spans="1:11" ht="33" customHeight="1" x14ac:dyDescent="0.25">
      <c r="A95" s="1657" t="s">
        <v>340</v>
      </c>
      <c r="B95" s="1658"/>
      <c r="C95" s="1658"/>
      <c r="D95" s="1043" t="str">
        <f>'DATOS @'!D44</f>
        <v xml:space="preserve">Lufft </v>
      </c>
      <c r="E95" s="1618" t="s">
        <v>464</v>
      </c>
      <c r="F95" s="1619"/>
      <c r="G95" s="1630" t="str">
        <f>'DATOS @'!E38</f>
        <v xml:space="preserve">22,1014,1212,,005 / pt 347980,004     </v>
      </c>
      <c r="H95" s="1635"/>
      <c r="I95" s="1630" t="str">
        <f>'DATOS @'!L38</f>
        <v>INM 3933</v>
      </c>
      <c r="J95" s="1631"/>
      <c r="K95" s="364"/>
    </row>
    <row r="96" spans="1:11" ht="33" customHeight="1" thickBot="1" x14ac:dyDescent="0.3">
      <c r="A96" s="1679" t="s">
        <v>29</v>
      </c>
      <c r="B96" s="1680"/>
      <c r="C96" s="1680"/>
      <c r="D96" s="969" t="e">
        <f>VLOOKUP(K96,'DATOS @'!$C$112:$L$118,2,FALSE)</f>
        <v>#N/A</v>
      </c>
      <c r="E96" s="1654" t="e">
        <f>VLOOKUP(K96,'DATOS @'!$C$112:$M$118,11,FALSE)</f>
        <v>#N/A</v>
      </c>
      <c r="F96" s="1655"/>
      <c r="G96" s="1681" t="e">
        <f>VLOOKUP(K96,'DATOS @'!$C$112:$L$118,3,FALSE)</f>
        <v>#N/A</v>
      </c>
      <c r="H96" s="1682"/>
      <c r="I96" s="1683" t="e">
        <f>VLOOKUP(K96,'DATOS @'!$C$112:$L$118,10,FALSE)</f>
        <v>#N/A</v>
      </c>
      <c r="J96" s="1684"/>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03" t="s">
        <v>369</v>
      </c>
      <c r="B98" s="1603"/>
      <c r="C98" s="1603"/>
      <c r="D98" s="1603"/>
      <c r="E98" s="1603"/>
      <c r="F98" s="1603"/>
      <c r="G98" s="1603"/>
      <c r="H98" s="1603"/>
      <c r="I98" s="1603"/>
      <c r="J98" s="1603"/>
      <c r="K98" s="1603"/>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11" t="s">
        <v>30</v>
      </c>
      <c r="B101" s="1629"/>
      <c r="C101" s="1611" t="s">
        <v>31</v>
      </c>
      <c r="D101" s="1612"/>
      <c r="E101" s="1629"/>
      <c r="F101" s="1611" t="s">
        <v>336</v>
      </c>
      <c r="G101" s="1629"/>
      <c r="H101" s="370" t="s">
        <v>410</v>
      </c>
      <c r="I101" s="371"/>
      <c r="J101" s="372" t="s">
        <v>468</v>
      </c>
      <c r="K101" s="373" t="s">
        <v>469</v>
      </c>
    </row>
    <row r="102" spans="1:12" s="366" customFormat="1" ht="30" customHeight="1" thickBot="1" x14ac:dyDescent="0.3">
      <c r="A102" s="1671" t="e">
        <f>'RT03-F11 @ '!$F$29</f>
        <v>#N/A</v>
      </c>
      <c r="B102" s="1672"/>
      <c r="C102" s="1634">
        <f>'RT03-F11 @ '!M30</f>
        <v>18927.055</v>
      </c>
      <c r="D102" s="1634"/>
      <c r="E102" s="1180" t="s">
        <v>4</v>
      </c>
      <c r="F102" s="374" t="e">
        <f>'RT03-F11 @ '!C121</f>
        <v>#N/A</v>
      </c>
      <c r="G102" s="1051" t="s">
        <v>4</v>
      </c>
      <c r="H102" s="890" t="e">
        <f>IF('RT03-F11 @ '!F121&lt;=('CMC @'!C10),"4,6","AJUSTAR")</f>
        <v>#N/A</v>
      </c>
      <c r="I102" s="1051" t="s">
        <v>4</v>
      </c>
      <c r="J102" s="376" t="e">
        <f>'RT03-F11 @ '!I121</f>
        <v>#N/A</v>
      </c>
      <c r="K102" s="1623" t="e">
        <f>IF('RT03-F11 @ '!I121+'RT03-F11 @ '!F121&lt;=('RT03-F14 @'!F116),"CUMPLE","NO CUMPLE")</f>
        <v>#N/A</v>
      </c>
    </row>
    <row r="103" spans="1:12" s="366" customFormat="1" ht="30" customHeight="1" thickBot="1" x14ac:dyDescent="0.3">
      <c r="A103" s="1673"/>
      <c r="B103" s="1674"/>
      <c r="C103" s="1634">
        <f>'RT03-F11 @ '!M28</f>
        <v>1155.0000427166315</v>
      </c>
      <c r="D103" s="1634"/>
      <c r="E103" s="1181" t="s">
        <v>611</v>
      </c>
      <c r="F103" s="377" t="e">
        <f>'RT03-F11 @ '!C122</f>
        <v>#N/A</v>
      </c>
      <c r="G103" s="1053" t="s">
        <v>604</v>
      </c>
      <c r="H103" s="375" t="e">
        <f>IF('RT03-F11 @ '!F122&lt;=('CMC @'!D10),"0,38","AJUSTAR")</f>
        <v>#N/A</v>
      </c>
      <c r="I103" s="1053" t="s">
        <v>604</v>
      </c>
      <c r="J103" s="378" t="e">
        <f>'RT03-F11 @ '!I122</f>
        <v>#N/A</v>
      </c>
      <c r="K103" s="1624"/>
    </row>
    <row r="104" spans="1:12" s="366" customFormat="1" ht="30" customHeight="1" thickBot="1" x14ac:dyDescent="0.3">
      <c r="A104" s="1673"/>
      <c r="B104" s="1674"/>
      <c r="C104" s="1632">
        <f>'RT03-F11 @ '!M27</f>
        <v>5</v>
      </c>
      <c r="D104" s="1633"/>
      <c r="E104" s="1181" t="s">
        <v>9</v>
      </c>
      <c r="F104" s="379" t="e">
        <f>'RT03-F11 @ '!C123</f>
        <v>#N/A</v>
      </c>
      <c r="G104" s="1053" t="s">
        <v>9</v>
      </c>
      <c r="H104" s="375" t="e">
        <f>IF('RT03-F11 @ '!F123&lt;=('CMC @'!E10),"0,0017","AJUSTAR")</f>
        <v>#N/A</v>
      </c>
      <c r="I104" s="1053" t="s">
        <v>9</v>
      </c>
      <c r="J104" s="380" t="e">
        <f>'RT03-F11 @ '!I123</f>
        <v>#N/A</v>
      </c>
      <c r="K104" s="1624"/>
    </row>
    <row r="105" spans="1:12" ht="30" customHeight="1" thickBot="1" x14ac:dyDescent="0.3">
      <c r="A105" s="1675"/>
      <c r="B105" s="1676"/>
      <c r="C105" s="1667">
        <v>100</v>
      </c>
      <c r="D105" s="1668"/>
      <c r="E105" s="1181" t="s">
        <v>288</v>
      </c>
      <c r="F105" s="381" t="e">
        <f>'RT03-F11 @ '!C124</f>
        <v>#N/A</v>
      </c>
      <c r="G105" s="1052" t="s">
        <v>288</v>
      </c>
      <c r="H105" s="375" t="e">
        <f>IF('RT03-F11 @ '!F123&lt;=('CMC @'!E10),"0,063","AJUSTAR")</f>
        <v>#N/A</v>
      </c>
      <c r="I105" s="1053" t="s">
        <v>288</v>
      </c>
      <c r="J105" s="382" t="e">
        <f>'RT03-F11 @ '!I124</f>
        <v>#N/A</v>
      </c>
      <c r="K105" s="1625"/>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11" t="s">
        <v>336</v>
      </c>
      <c r="G108" s="1612"/>
      <c r="H108" s="370" t="s">
        <v>466</v>
      </c>
      <c r="I108" s="371"/>
      <c r="J108" s="372" t="s">
        <v>470</v>
      </c>
      <c r="K108" s="373" t="s">
        <v>469</v>
      </c>
    </row>
    <row r="109" spans="1:12" ht="30" customHeight="1" thickBot="1" x14ac:dyDescent="0.3">
      <c r="A109" s="1671" t="e">
        <f>A102</f>
        <v>#N/A</v>
      </c>
      <c r="B109" s="1672"/>
      <c r="C109" s="1634">
        <f>C102</f>
        <v>18927.055</v>
      </c>
      <c r="D109" s="1634"/>
      <c r="E109" s="1052" t="s">
        <v>4</v>
      </c>
      <c r="F109" s="374" t="e">
        <f>'Despues de ajuste @'!C121</f>
        <v>#N/A</v>
      </c>
      <c r="G109" s="1054" t="s">
        <v>4</v>
      </c>
      <c r="H109" s="891" t="e">
        <f>IF('RT03-F11 @ '!F121&lt;=('CMC @'!C10),"4,6","AJUSTAR")</f>
        <v>#N/A</v>
      </c>
      <c r="I109" s="1052" t="s">
        <v>4</v>
      </c>
      <c r="J109" s="376" t="e">
        <f>'Despues de ajuste @'!I121</f>
        <v>#N/A</v>
      </c>
      <c r="K109" s="1620" t="e">
        <f>IF('Despues de ajuste @'!I121+'Despues de ajuste @'!F121&lt;=('RT03-F14 @'!F116),"CUMPLE","NO CUMPLE")</f>
        <v>#N/A</v>
      </c>
    </row>
    <row r="110" spans="1:12" ht="30" customHeight="1" thickBot="1" x14ac:dyDescent="0.3">
      <c r="A110" s="1673"/>
      <c r="B110" s="1674"/>
      <c r="C110" s="1634">
        <f>C103</f>
        <v>1155.0000427166315</v>
      </c>
      <c r="D110" s="1634"/>
      <c r="E110" s="1052" t="s">
        <v>604</v>
      </c>
      <c r="F110" s="377" t="e">
        <f>'Despues de ajuste @'!C122</f>
        <v>#N/A</v>
      </c>
      <c r="G110" s="1054" t="s">
        <v>604</v>
      </c>
      <c r="H110" s="391" t="e">
        <f>IF('RT03-F11 @ '!F122&lt;=('CMC @'!D10),"0,38","AJUSTAR")</f>
        <v>#N/A</v>
      </c>
      <c r="I110" s="1052" t="s">
        <v>604</v>
      </c>
      <c r="J110" s="378" t="e">
        <f>'Despues de ajuste @'!I122</f>
        <v>#N/A</v>
      </c>
      <c r="K110" s="1621"/>
    </row>
    <row r="111" spans="1:12" ht="30" customHeight="1" thickBot="1" x14ac:dyDescent="0.3">
      <c r="A111" s="1673"/>
      <c r="B111" s="1674"/>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21"/>
    </row>
    <row r="112" spans="1:12" ht="30" customHeight="1" thickBot="1" x14ac:dyDescent="0.3">
      <c r="A112" s="1675"/>
      <c r="B112" s="1676"/>
      <c r="C112" s="1667">
        <v>100</v>
      </c>
      <c r="D112" s="1668"/>
      <c r="E112" s="1055" t="s">
        <v>288</v>
      </c>
      <c r="F112" s="381" t="e">
        <f>'Despues de ajuste @'!C124</f>
        <v>#N/A</v>
      </c>
      <c r="G112" s="1055" t="s">
        <v>288</v>
      </c>
      <c r="H112" s="375" t="e">
        <f>IF('RT03-F11 @ '!F123&lt;=('CMC @'!E10),"0,063","AJUSTAR")</f>
        <v>#N/A</v>
      </c>
      <c r="I112" s="1056" t="s">
        <v>288</v>
      </c>
      <c r="J112" s="382" t="e">
        <f>'Despues de ajuste @'!I124</f>
        <v>#N/A</v>
      </c>
      <c r="K112" s="1622"/>
    </row>
    <row r="113" spans="1:11" ht="24.95" customHeight="1" x14ac:dyDescent="0.25"/>
    <row r="114" spans="1:11" ht="33" customHeight="1" x14ac:dyDescent="0.25">
      <c r="A114" s="1695" t="s">
        <v>473</v>
      </c>
      <c r="B114" s="1695"/>
      <c r="C114" s="1695"/>
      <c r="D114" s="1695"/>
      <c r="E114" s="1695"/>
      <c r="F114" s="1695"/>
      <c r="G114" s="1695"/>
      <c r="H114" s="1695"/>
      <c r="I114" s="1695"/>
      <c r="J114" s="1695"/>
      <c r="K114" s="1695"/>
    </row>
    <row r="115" spans="1:11" ht="15.95" customHeight="1" thickBot="1" x14ac:dyDescent="0.3">
      <c r="A115" s="392"/>
      <c r="B115" s="392"/>
      <c r="C115" s="392"/>
      <c r="D115" s="392"/>
      <c r="E115" s="392"/>
      <c r="F115" s="392"/>
      <c r="G115" s="392"/>
      <c r="H115" s="392"/>
      <c r="I115" s="392"/>
      <c r="J115" s="392"/>
      <c r="K115" s="392"/>
    </row>
    <row r="116" spans="1:11" ht="24.95" customHeight="1" thickBot="1" x14ac:dyDescent="0.3">
      <c r="A116" s="392"/>
      <c r="B116" s="392"/>
      <c r="C116" s="392"/>
      <c r="D116" s="1049"/>
      <c r="E116" s="1058" t="s">
        <v>467</v>
      </c>
      <c r="F116" s="1059">
        <f>(C109*0.05%)</f>
        <v>9.4635274999999996</v>
      </c>
      <c r="G116" s="1058" t="s">
        <v>4</v>
      </c>
      <c r="H116" s="1057"/>
      <c r="I116" s="393"/>
      <c r="J116" s="392"/>
      <c r="K116" s="392"/>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392"/>
      <c r="H121" s="392"/>
      <c r="I121" s="1037" t="s">
        <v>314</v>
      </c>
      <c r="J121" s="1692" t="str">
        <f>J2</f>
        <v>LCV-XXX-XX</v>
      </c>
      <c r="K121" s="1693"/>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66" t="s">
        <v>370</v>
      </c>
      <c r="B123" s="1666"/>
      <c r="C123" s="1666"/>
      <c r="D123" s="1666"/>
      <c r="E123" s="1666"/>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17" t="s">
        <v>238</v>
      </c>
      <c r="B125" s="1617"/>
      <c r="C125" s="1617"/>
      <c r="D125" s="1617"/>
      <c r="E125" s="1617"/>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13" t="s">
        <v>458</v>
      </c>
      <c r="B127" s="1613"/>
      <c r="C127" s="1613"/>
      <c r="D127" s="1613"/>
      <c r="E127" s="1613"/>
      <c r="F127" s="1613"/>
      <c r="G127" s="1613"/>
      <c r="H127" s="1613"/>
      <c r="I127" s="1613"/>
      <c r="J127" s="336"/>
    </row>
    <row r="128" spans="1:11" ht="20.100000000000001" customHeight="1" thickBot="1" x14ac:dyDescent="0.3">
      <c r="A128" s="967"/>
      <c r="B128" s="967"/>
      <c r="C128" s="967"/>
      <c r="D128" s="967"/>
      <c r="E128" s="920"/>
      <c r="F128" s="1669" t="s">
        <v>7</v>
      </c>
      <c r="G128" s="1669"/>
      <c r="H128" s="148"/>
      <c r="I128" s="148"/>
      <c r="J128" s="148"/>
      <c r="K128" s="148"/>
    </row>
    <row r="129" spans="1:12" ht="16.5" customHeight="1" x14ac:dyDescent="0.25">
      <c r="A129" s="338"/>
      <c r="C129" s="399" t="e">
        <f>'VERIFICACIÓN DE LA ESCALA @'!C56</f>
        <v>#N/A</v>
      </c>
      <c r="D129" s="400" t="s">
        <v>4</v>
      </c>
      <c r="E129" s="1678"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78"/>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78"/>
      <c r="F131" s="923" t="e">
        <f>'VERIFICACIÓN DE LA ESCALA @'!F58</f>
        <v>#N/A</v>
      </c>
      <c r="G131" s="973" t="s">
        <v>288</v>
      </c>
      <c r="I131" s="148"/>
      <c r="J131" s="148"/>
      <c r="K131" s="148"/>
    </row>
    <row r="132" spans="1:12" ht="24.95" customHeight="1" x14ac:dyDescent="0.25">
      <c r="A132" s="967"/>
      <c r="B132" s="148"/>
      <c r="C132" s="148"/>
      <c r="D132" s="148"/>
      <c r="E132" s="148"/>
      <c r="F132" s="148"/>
      <c r="G132" s="148"/>
      <c r="H132" s="333"/>
      <c r="I132" s="1030"/>
      <c r="J132" s="1030"/>
      <c r="K132" s="1030"/>
    </row>
    <row r="133" spans="1:12" ht="12" customHeight="1" x14ac:dyDescent="0.25">
      <c r="A133" s="1670" t="s">
        <v>371</v>
      </c>
      <c r="B133" s="1670"/>
      <c r="C133" s="1670"/>
      <c r="D133" s="1670"/>
      <c r="E133" s="1670"/>
      <c r="F133" s="1670"/>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64" t="s">
        <v>584</v>
      </c>
      <c r="C135" s="1664"/>
      <c r="D135" s="1664"/>
      <c r="E135" s="1664"/>
      <c r="F135" s="1664"/>
      <c r="G135" s="1664"/>
      <c r="H135" s="1664"/>
      <c r="I135" s="1664"/>
      <c r="J135" s="1664"/>
      <c r="K135" s="1664"/>
    </row>
    <row r="136" spans="1:12" ht="33" customHeight="1" x14ac:dyDescent="0.25">
      <c r="A136" s="1038" t="s">
        <v>583</v>
      </c>
      <c r="B136" s="1664" t="s">
        <v>585</v>
      </c>
      <c r="C136" s="1664"/>
      <c r="D136" s="1664"/>
      <c r="E136" s="1664"/>
      <c r="F136" s="1664"/>
      <c r="G136" s="1664"/>
      <c r="H136" s="1664"/>
      <c r="I136" s="1664"/>
      <c r="J136" s="1664"/>
      <c r="K136" s="1664"/>
    </row>
    <row r="137" spans="1:12" ht="33" customHeight="1" x14ac:dyDescent="0.25">
      <c r="A137" s="1038" t="s">
        <v>583</v>
      </c>
      <c r="B137" s="1664" t="s">
        <v>586</v>
      </c>
      <c r="C137" s="1664"/>
      <c r="D137" s="1664"/>
      <c r="E137" s="1664"/>
      <c r="F137" s="1664"/>
      <c r="G137" s="1664"/>
      <c r="H137" s="1664"/>
      <c r="I137" s="1664"/>
      <c r="J137" s="1664"/>
      <c r="K137" s="1664"/>
    </row>
    <row r="138" spans="1:12" s="405" customFormat="1" ht="23.1" customHeight="1" x14ac:dyDescent="0.25">
      <c r="A138" s="1038" t="s">
        <v>583</v>
      </c>
      <c r="B138" s="1664" t="s">
        <v>587</v>
      </c>
      <c r="C138" s="1664"/>
      <c r="D138" s="1664"/>
      <c r="E138" s="1664"/>
      <c r="F138" s="1664"/>
      <c r="G138" s="1664"/>
      <c r="H138" s="1664"/>
      <c r="I138" s="1664"/>
      <c r="J138" s="1664"/>
      <c r="K138" s="1664"/>
    </row>
    <row r="139" spans="1:12" s="405" customFormat="1" ht="23.1" customHeight="1" x14ac:dyDescent="0.25">
      <c r="A139" s="1038" t="s">
        <v>583</v>
      </c>
      <c r="B139" s="1664" t="s">
        <v>588</v>
      </c>
      <c r="C139" s="1664"/>
      <c r="D139" s="1664"/>
      <c r="E139" s="1664"/>
      <c r="F139" s="1664"/>
      <c r="G139" s="1664"/>
      <c r="H139" s="1664"/>
      <c r="I139" s="1664"/>
      <c r="J139" s="1664"/>
      <c r="K139" s="1664"/>
    </row>
    <row r="140" spans="1:12" s="405" customFormat="1" ht="23.1" customHeight="1" x14ac:dyDescent="0.25">
      <c r="A140" s="1038" t="s">
        <v>583</v>
      </c>
      <c r="B140" s="1664" t="s">
        <v>589</v>
      </c>
      <c r="C140" s="1664"/>
      <c r="D140" s="1664"/>
      <c r="E140" s="1664"/>
      <c r="F140" s="1664"/>
      <c r="G140" s="1664"/>
      <c r="H140" s="1664"/>
      <c r="I140" s="1664"/>
      <c r="J140" s="1664"/>
      <c r="K140" s="1664"/>
    </row>
    <row r="141" spans="1:12" ht="23.1" customHeight="1" x14ac:dyDescent="0.25">
      <c r="A141" s="1038" t="s">
        <v>583</v>
      </c>
      <c r="B141" s="1664" t="s">
        <v>590</v>
      </c>
      <c r="C141" s="1664"/>
      <c r="D141" s="1664"/>
      <c r="E141" s="1664"/>
      <c r="F141" s="1664"/>
      <c r="G141" s="1664"/>
      <c r="H141" s="1664"/>
      <c r="I141" s="1664"/>
      <c r="J141" s="1664"/>
      <c r="K141" s="1664"/>
    </row>
    <row r="142" spans="1:12" s="405" customFormat="1" ht="23.1" customHeight="1" x14ac:dyDescent="0.25">
      <c r="A142" s="1038" t="s">
        <v>583</v>
      </c>
      <c r="B142" s="1664" t="s">
        <v>591</v>
      </c>
      <c r="C142" s="1664"/>
      <c r="D142" s="1664"/>
      <c r="E142" s="1664"/>
      <c r="F142" s="1664"/>
      <c r="G142" s="1664"/>
      <c r="H142" s="1664"/>
      <c r="I142" s="1664"/>
      <c r="J142" s="1664"/>
      <c r="K142" s="1664"/>
      <c r="L142" s="406"/>
    </row>
    <row r="143" spans="1:12" s="405" customFormat="1" ht="23.1" customHeight="1" x14ac:dyDescent="0.25">
      <c r="A143" s="1038" t="s">
        <v>592</v>
      </c>
      <c r="B143" s="1664" t="s">
        <v>593</v>
      </c>
      <c r="C143" s="1664"/>
      <c r="D143" s="1664"/>
      <c r="E143" s="1664"/>
      <c r="F143" s="1664"/>
      <c r="G143" s="1664"/>
      <c r="H143" s="1664"/>
      <c r="I143" s="1664"/>
      <c r="J143" s="1664"/>
      <c r="K143" s="1664"/>
      <c r="L143" s="406"/>
    </row>
    <row r="144" spans="1:12" ht="23.1" customHeight="1" x14ac:dyDescent="0.25">
      <c r="A144" s="1038" t="s">
        <v>592</v>
      </c>
      <c r="B144" s="1664" t="s">
        <v>595</v>
      </c>
      <c r="C144" s="1664"/>
      <c r="D144" s="1664"/>
      <c r="E144" s="1664"/>
      <c r="F144" s="1664"/>
      <c r="G144" s="1664"/>
      <c r="H144" s="1664"/>
      <c r="I144" s="1664"/>
      <c r="J144" s="1664"/>
      <c r="K144" s="1664"/>
      <c r="L144" s="407"/>
    </row>
    <row r="145" spans="1:12" ht="23.1" customHeight="1" x14ac:dyDescent="0.25">
      <c r="A145" s="1039" t="s">
        <v>583</v>
      </c>
      <c r="B145" s="1664" t="s">
        <v>594</v>
      </c>
      <c r="C145" s="1664"/>
      <c r="D145" s="1664"/>
      <c r="E145" s="1664"/>
      <c r="F145" s="1664"/>
      <c r="G145" s="1664"/>
      <c r="H145" s="1664"/>
      <c r="I145" s="1664"/>
      <c r="J145" s="1664"/>
      <c r="K145" s="1664"/>
      <c r="L145" s="408"/>
    </row>
    <row r="146" spans="1:12" ht="33" customHeight="1" x14ac:dyDescent="0.25">
      <c r="A146" s="1038" t="s">
        <v>583</v>
      </c>
      <c r="B146" s="1664" t="s">
        <v>596</v>
      </c>
      <c r="C146" s="1664"/>
      <c r="D146" s="1664"/>
      <c r="E146" s="1664"/>
      <c r="F146" s="1664"/>
      <c r="G146" s="1664"/>
      <c r="H146" s="1664"/>
      <c r="I146" s="1664"/>
      <c r="J146" s="1664"/>
      <c r="K146" s="1664"/>
    </row>
    <row r="147" spans="1:12" ht="23.1" customHeight="1" x14ac:dyDescent="0.25">
      <c r="A147" s="1038" t="s">
        <v>583</v>
      </c>
      <c r="B147" s="1664" t="s">
        <v>597</v>
      </c>
      <c r="C147" s="1664"/>
      <c r="D147" s="1664"/>
      <c r="E147" s="1664"/>
      <c r="F147" s="1664"/>
      <c r="G147" s="1664"/>
      <c r="H147" s="1664"/>
      <c r="I147" s="1664"/>
      <c r="J147" s="1664"/>
      <c r="K147" s="1664"/>
    </row>
    <row r="148" spans="1:12" ht="23.1" customHeight="1" x14ac:dyDescent="0.25">
      <c r="A148" s="1038" t="s">
        <v>583</v>
      </c>
      <c r="B148" s="1664" t="s">
        <v>598</v>
      </c>
      <c r="C148" s="1664"/>
      <c r="D148" s="1664"/>
      <c r="E148" s="1664"/>
      <c r="F148" s="1664"/>
      <c r="G148" s="1664"/>
      <c r="H148" s="1664"/>
      <c r="I148" s="1664"/>
      <c r="J148" s="1664"/>
      <c r="K148" s="1664"/>
    </row>
    <row r="149" spans="1:12" ht="23.1" customHeight="1" x14ac:dyDescent="0.25">
      <c r="A149" s="1038" t="s">
        <v>583</v>
      </c>
      <c r="B149" s="1664" t="s">
        <v>599</v>
      </c>
      <c r="C149" s="1664"/>
      <c r="D149" s="1664"/>
      <c r="E149" s="1664"/>
      <c r="F149" s="1664"/>
      <c r="G149" s="1664"/>
      <c r="H149" s="1664"/>
      <c r="I149" s="1664"/>
      <c r="J149" s="1664"/>
      <c r="K149" s="1664"/>
    </row>
    <row r="150" spans="1:12" ht="23.1" customHeight="1" x14ac:dyDescent="0.25">
      <c r="A150" s="1038" t="s">
        <v>583</v>
      </c>
      <c r="B150" s="1664" t="s">
        <v>600</v>
      </c>
      <c r="C150" s="1664"/>
      <c r="D150" s="1664"/>
      <c r="E150" s="1664"/>
      <c r="F150" s="1664"/>
      <c r="G150" s="1664"/>
      <c r="H150" s="1664"/>
      <c r="I150" s="1664"/>
      <c r="J150" s="1664"/>
      <c r="K150" s="1664"/>
    </row>
    <row r="151" spans="1:12" ht="23.1" customHeight="1" x14ac:dyDescent="0.25">
      <c r="A151" s="1038" t="s">
        <v>583</v>
      </c>
      <c r="B151" s="1664" t="s">
        <v>606</v>
      </c>
      <c r="C151" s="1664"/>
      <c r="D151" s="1664"/>
      <c r="E151" s="1664"/>
      <c r="F151" s="1664"/>
      <c r="G151" s="1664"/>
      <c r="H151" s="1664"/>
      <c r="I151" s="1664"/>
      <c r="J151" s="1664"/>
      <c r="K151" s="1664"/>
    </row>
    <row r="152" spans="1:12" ht="23.1" customHeight="1" x14ac:dyDescent="0.25">
      <c r="A152" s="1038" t="s">
        <v>592</v>
      </c>
      <c r="B152" s="1664" t="s">
        <v>607</v>
      </c>
      <c r="C152" s="1664"/>
      <c r="D152" s="1664"/>
      <c r="E152" s="1664"/>
      <c r="F152" s="1664"/>
      <c r="G152" s="1664"/>
      <c r="H152" s="1664"/>
      <c r="I152" s="1664"/>
      <c r="J152" s="1664"/>
      <c r="K152" s="1664"/>
    </row>
    <row r="153" spans="1:12" ht="15" customHeight="1" x14ac:dyDescent="0.25">
      <c r="E153" s="148"/>
      <c r="F153" s="148"/>
      <c r="G153" s="148"/>
      <c r="H153" s="148"/>
      <c r="I153" s="148"/>
      <c r="J153" s="148"/>
      <c r="K153" s="148"/>
    </row>
    <row r="154" spans="1:12" ht="15" customHeight="1" x14ac:dyDescent="0.25">
      <c r="A154" s="1677" t="s">
        <v>32</v>
      </c>
      <c r="B154" s="1677"/>
      <c r="C154" s="1677"/>
      <c r="D154" s="1677"/>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86"/>
      <c r="C158" s="1686"/>
      <c r="D158" s="1686"/>
      <c r="E158" s="1686"/>
      <c r="F158" s="1686"/>
      <c r="G158" s="341"/>
      <c r="H158" s="1686"/>
      <c r="I158" s="1686"/>
      <c r="J158" s="1686"/>
      <c r="K158" s="1182"/>
    </row>
    <row r="159" spans="1:12" ht="15" customHeight="1" x14ac:dyDescent="0.25">
      <c r="A159" s="148"/>
      <c r="B159" s="1685" t="s">
        <v>33</v>
      </c>
      <c r="C159" s="1685"/>
      <c r="D159" s="1685"/>
      <c r="E159" s="1685"/>
      <c r="F159" s="1685"/>
      <c r="G159" s="341" t="s">
        <v>581</v>
      </c>
      <c r="H159" s="1685" t="s">
        <v>582</v>
      </c>
      <c r="I159" s="1685"/>
      <c r="J159" s="1685"/>
      <c r="K159" s="148"/>
    </row>
    <row r="160" spans="1:12" ht="21" customHeight="1" x14ac:dyDescent="0.25">
      <c r="B160" s="1687" t="e">
        <f>VLOOKUP(A158,'DATOS @'!P9:S13,4,FALSE)</f>
        <v>#N/A</v>
      </c>
      <c r="C160" s="1687"/>
      <c r="D160" s="1687"/>
      <c r="E160" s="1687"/>
      <c r="F160" s="1687"/>
      <c r="G160" s="409"/>
      <c r="H160" s="1688" t="e">
        <f>VLOOKUP(K158,'DATOS @'!P9:U13,6,FALSE)</f>
        <v>#N/A</v>
      </c>
      <c r="I160" s="1688"/>
      <c r="J160" s="1688"/>
      <c r="K160" s="409"/>
    </row>
    <row r="161" spans="1:11" ht="15" customHeight="1" x14ac:dyDescent="0.25">
      <c r="A161" s="148"/>
      <c r="B161" s="1677" t="e">
        <f>VLOOKUP(A158,'DATOS @'!P9:S13,2,FALSE)</f>
        <v>#N/A</v>
      </c>
      <c r="C161" s="1677"/>
      <c r="D161" s="1677"/>
      <c r="E161" s="1677"/>
      <c r="F161" s="1677"/>
      <c r="G161" s="1031"/>
      <c r="H161" s="1677" t="e">
        <f>VLOOKUP(K158,'DATOS @'!P9:U13,2,FALSE)</f>
        <v>#N/A</v>
      </c>
      <c r="I161" s="1677"/>
      <c r="J161" s="1677"/>
      <c r="K161" s="1031"/>
    </row>
    <row r="162" spans="1:11" ht="15" customHeight="1" x14ac:dyDescent="0.25">
      <c r="D162" s="148"/>
      <c r="E162" s="148"/>
      <c r="F162" s="148"/>
      <c r="G162" s="148"/>
      <c r="H162" s="148"/>
      <c r="I162" s="148"/>
      <c r="J162" s="148"/>
      <c r="K162" s="148"/>
    </row>
    <row r="163" spans="1:11" ht="15" customHeight="1" x14ac:dyDescent="0.25">
      <c r="A163" s="148"/>
      <c r="B163" s="1689" t="s">
        <v>471</v>
      </c>
      <c r="C163" s="1689"/>
      <c r="D163" s="1689"/>
      <c r="E163" s="1690" t="s">
        <v>472</v>
      </c>
      <c r="F163" s="1690"/>
      <c r="H163" s="404"/>
      <c r="I163" s="1696" t="s">
        <v>580</v>
      </c>
      <c r="J163" s="1696"/>
      <c r="K163" s="409" t="s">
        <v>472</v>
      </c>
    </row>
    <row r="164" spans="1:11" ht="15" customHeight="1" x14ac:dyDescent="0.25">
      <c r="A164" s="148"/>
      <c r="J164" s="148"/>
      <c r="K164" s="148"/>
    </row>
    <row r="165" spans="1:11" ht="15.75" customHeight="1" x14ac:dyDescent="0.25">
      <c r="A165" s="1665" t="s">
        <v>239</v>
      </c>
      <c r="B165" s="1665"/>
      <c r="C165" s="1665"/>
      <c r="D165" s="1665"/>
      <c r="E165" s="1665"/>
      <c r="F165" s="1665"/>
      <c r="G165" s="1665"/>
      <c r="H165" s="1665"/>
      <c r="I165" s="1665"/>
      <c r="J165" s="1665"/>
      <c r="K165" s="1665"/>
    </row>
  </sheetData>
  <sheetProtection password="CF5C" sheet="1" objects="1" scenarios="1"/>
  <mergeCells count="155">
    <mergeCell ref="B163:D163"/>
    <mergeCell ref="E163:F163"/>
    <mergeCell ref="J41:K41"/>
    <mergeCell ref="J87:K87"/>
    <mergeCell ref="J121:K121"/>
    <mergeCell ref="A46:B46"/>
    <mergeCell ref="C69:H69"/>
    <mergeCell ref="C67:J67"/>
    <mergeCell ref="A114:K114"/>
    <mergeCell ref="I163:J163"/>
    <mergeCell ref="B135:K135"/>
    <mergeCell ref="B136:K136"/>
    <mergeCell ref="B137:K137"/>
    <mergeCell ref="B138:K138"/>
    <mergeCell ref="B139:K139"/>
    <mergeCell ref="B140:K140"/>
    <mergeCell ref="B141:K141"/>
    <mergeCell ref="B142:K142"/>
    <mergeCell ref="B144:K144"/>
    <mergeCell ref="B145:K145"/>
    <mergeCell ref="B146:K146"/>
    <mergeCell ref="B147:K147"/>
    <mergeCell ref="B148:K148"/>
    <mergeCell ref="B152:K152"/>
    <mergeCell ref="H159:J159"/>
    <mergeCell ref="H158:J158"/>
    <mergeCell ref="B158:F158"/>
    <mergeCell ref="B159:F159"/>
    <mergeCell ref="B160:F160"/>
    <mergeCell ref="H160:J160"/>
    <mergeCell ref="H161:J161"/>
    <mergeCell ref="B161:F161"/>
    <mergeCell ref="B149:K149"/>
    <mergeCell ref="B151:K151"/>
    <mergeCell ref="E78:G78"/>
    <mergeCell ref="B78:D78"/>
    <mergeCell ref="H79:I79"/>
    <mergeCell ref="E79:G79"/>
    <mergeCell ref="B79:D79"/>
    <mergeCell ref="B143:K143"/>
    <mergeCell ref="A165:K165"/>
    <mergeCell ref="A123:E123"/>
    <mergeCell ref="C112:D112"/>
    <mergeCell ref="F128:G128"/>
    <mergeCell ref="C102:D102"/>
    <mergeCell ref="A133:F133"/>
    <mergeCell ref="C105:D105"/>
    <mergeCell ref="A109:B112"/>
    <mergeCell ref="C109:D109"/>
    <mergeCell ref="C110:D110"/>
    <mergeCell ref="A154:D154"/>
    <mergeCell ref="A102:B105"/>
    <mergeCell ref="E129:E131"/>
    <mergeCell ref="A96:C96"/>
    <mergeCell ref="A98:K98"/>
    <mergeCell ref="G96:H96"/>
    <mergeCell ref="I96:J96"/>
    <mergeCell ref="B150:K150"/>
    <mergeCell ref="G93:H93"/>
    <mergeCell ref="D6:K6"/>
    <mergeCell ref="D7:K7"/>
    <mergeCell ref="D8:K8"/>
    <mergeCell ref="A101:B101"/>
    <mergeCell ref="C101:E101"/>
    <mergeCell ref="E95:F95"/>
    <mergeCell ref="E96:F96"/>
    <mergeCell ref="F101:G101"/>
    <mergeCell ref="E19:H19"/>
    <mergeCell ref="E20:H20"/>
    <mergeCell ref="A31:H31"/>
    <mergeCell ref="C63:K63"/>
    <mergeCell ref="C65:K65"/>
    <mergeCell ref="A83:K84"/>
    <mergeCell ref="C68:J68"/>
    <mergeCell ref="C64:J64"/>
    <mergeCell ref="A33:K34"/>
    <mergeCell ref="A94:C94"/>
    <mergeCell ref="A100:I100"/>
    <mergeCell ref="A95:C95"/>
    <mergeCell ref="G95:H95"/>
    <mergeCell ref="I95:J95"/>
    <mergeCell ref="H78:I78"/>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2:K2"/>
    <mergeCell ref="E24:H24"/>
    <mergeCell ref="J10:K10"/>
    <mergeCell ref="H10:I10"/>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C48:K48"/>
    <mergeCell ref="C58:J58"/>
    <mergeCell ref="C60:J60"/>
    <mergeCell ref="C62:J62"/>
    <mergeCell ref="C53:K53"/>
    <mergeCell ref="C55:K55"/>
    <mergeCell ref="C57:K57"/>
    <mergeCell ref="C59:K59"/>
    <mergeCell ref="C61:K61"/>
    <mergeCell ref="C50:K51"/>
    <mergeCell ref="A74:E74"/>
    <mergeCell ref="A93:C93"/>
    <mergeCell ref="C71:H71"/>
    <mergeCell ref="A81:E81"/>
    <mergeCell ref="C66:J66"/>
    <mergeCell ref="A90:K90"/>
    <mergeCell ref="I93:J93"/>
    <mergeCell ref="F108:G108"/>
    <mergeCell ref="A127:I127"/>
    <mergeCell ref="A88:E88"/>
    <mergeCell ref="A92:C92"/>
    <mergeCell ref="G92:H92"/>
    <mergeCell ref="A125:E125"/>
    <mergeCell ref="E94:F94"/>
    <mergeCell ref="K109:K112"/>
    <mergeCell ref="K102:K105"/>
    <mergeCell ref="E93:F93"/>
    <mergeCell ref="I92:J92"/>
    <mergeCell ref="A76:K76"/>
    <mergeCell ref="E92:F92"/>
    <mergeCell ref="I94:J94"/>
    <mergeCell ref="C104:D104"/>
    <mergeCell ref="C103:D103"/>
    <mergeCell ref="G94:H94"/>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Vr.8(2020-04-27)
&amp;P de 4 </oddFooter>
  </headerFooter>
  <rowBreaks count="3" manualBreakCount="3">
    <brk id="39" max="16383" man="1"/>
    <brk id="85" max="16383" man="1"/>
    <brk id="119" min="1" max="10" man="1"/>
  </rowBreaks>
  <colBreaks count="1" manualBreakCount="1">
    <brk id="11" max="1048575" man="1"/>
  </colBreaks>
  <ignoredErrors>
    <ignoredError sqref="I96 G96 D96 B161"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NOT(ISERROR(SEARCH($F$109,F123)))</xm:f>
            <xm:f>$F$109</xm:f>
            <x14:dxf>
              <font>
                <b/>
                <i val="0"/>
              </font>
            </x14:dxf>
          </x14:cfRule>
          <x14:cfRule type="containsText" priority="12" stopIfTrue="1" operator="containsText" id="{10145571-340A-42E6-A73D-51EBE00510D1}">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@'!$P$9:$P$13</xm:f>
          </x14:formula1>
          <xm:sqref>K158 A158</xm:sqref>
        </x14:dataValidation>
        <x14:dataValidation type="list" allowBlank="1" showInputMessage="1" showErrorMessage="1">
          <x14:formula1>
            <xm:f>'DATOS @'!$C$112:$C$117</xm:f>
          </x14:formula1>
          <xm:sqref>K96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view="pageBreakPreview" zoomScale="70" zoomScaleNormal="100" zoomScaleSheetLayoutView="70" workbookViewId="0">
      <selection activeCell="G4" sqref="G4"/>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43"/>
      <c r="B1" s="1643"/>
      <c r="C1" s="1643"/>
      <c r="D1" s="1643"/>
      <c r="E1" s="1643"/>
      <c r="F1" s="1643"/>
      <c r="G1" s="1643"/>
      <c r="H1" s="1643"/>
      <c r="I1" s="1643"/>
      <c r="J1" s="1643"/>
      <c r="K1" s="1643"/>
    </row>
    <row r="2" spans="1:11" ht="24.95" customHeight="1" x14ac:dyDescent="0.25">
      <c r="A2" s="965"/>
      <c r="B2" s="965"/>
      <c r="C2" s="965"/>
      <c r="D2" s="965"/>
      <c r="E2" s="965"/>
      <c r="F2" s="965"/>
      <c r="G2" s="1697" t="s">
        <v>605</v>
      </c>
      <c r="H2" s="1697"/>
      <c r="I2" s="1697"/>
      <c r="J2" s="1649" t="str">
        <f>'DATOS @'!N15</f>
        <v>LCV-XXX-XX</v>
      </c>
      <c r="K2" s="1649"/>
    </row>
    <row r="3" spans="1:11" ht="24.95" customHeight="1" x14ac:dyDescent="0.25">
      <c r="A3" s="965"/>
      <c r="B3" s="965"/>
      <c r="C3" s="965"/>
      <c r="D3" s="965"/>
      <c r="E3" s="965"/>
      <c r="F3" s="965"/>
      <c r="G3" s="965"/>
      <c r="H3" s="333"/>
      <c r="I3" s="1031"/>
      <c r="J3" s="972"/>
      <c r="K3" s="972"/>
    </row>
    <row r="4" spans="1:11" ht="26.1" customHeight="1" x14ac:dyDescent="0.25">
      <c r="A4" s="1637" t="s">
        <v>44</v>
      </c>
      <c r="B4" s="1637"/>
      <c r="C4" s="1637"/>
      <c r="D4" s="1637"/>
      <c r="E4" s="334"/>
      <c r="F4" s="162"/>
    </row>
    <row r="5" spans="1:11" ht="18" customHeight="1" x14ac:dyDescent="0.25">
      <c r="A5" s="335"/>
      <c r="B5" s="335"/>
      <c r="C5" s="335"/>
      <c r="D5" s="162"/>
      <c r="E5" s="162"/>
      <c r="F5" s="162"/>
    </row>
    <row r="6" spans="1:11" ht="26.1" customHeight="1" x14ac:dyDescent="0.25">
      <c r="A6" s="1613" t="s">
        <v>450</v>
      </c>
      <c r="B6" s="1613"/>
      <c r="C6" s="962"/>
      <c r="D6" s="1653">
        <f>'DATOS @'!K8</f>
        <v>0</v>
      </c>
      <c r="E6" s="1653"/>
      <c r="F6" s="1653"/>
      <c r="G6" s="1653"/>
      <c r="H6" s="1653"/>
      <c r="I6" s="1653"/>
      <c r="J6" s="1653"/>
      <c r="K6" s="1653"/>
    </row>
    <row r="7" spans="1:11" ht="26.1" customHeight="1" x14ac:dyDescent="0.25">
      <c r="A7" s="1644" t="s">
        <v>451</v>
      </c>
      <c r="B7" s="1644"/>
      <c r="C7" s="966"/>
      <c r="D7" s="1653">
        <f>'DATOS @'!L8</f>
        <v>0</v>
      </c>
      <c r="E7" s="1653"/>
      <c r="F7" s="1653"/>
      <c r="G7" s="1653"/>
      <c r="H7" s="1653"/>
      <c r="I7" s="1653"/>
      <c r="J7" s="1653"/>
      <c r="K7" s="1653"/>
    </row>
    <row r="8" spans="1:11" ht="26.1" customHeight="1" x14ac:dyDescent="0.25">
      <c r="A8" s="1644" t="s">
        <v>476</v>
      </c>
      <c r="B8" s="1644"/>
      <c r="C8" s="966"/>
      <c r="D8" s="1653">
        <f>'DATOS @'!M8</f>
        <v>0</v>
      </c>
      <c r="E8" s="1653"/>
      <c r="F8" s="1653"/>
      <c r="G8" s="1653"/>
      <c r="H8" s="1653"/>
      <c r="I8" s="1653"/>
      <c r="J8" s="1653"/>
      <c r="K8" s="1653"/>
    </row>
    <row r="9" spans="1:11" ht="26.1" customHeight="1" x14ac:dyDescent="0.25">
      <c r="A9" s="961"/>
      <c r="B9" s="961"/>
      <c r="C9" s="335"/>
      <c r="D9" s="162"/>
      <c r="E9" s="162"/>
      <c r="F9" s="162"/>
      <c r="G9" s="162"/>
    </row>
    <row r="10" spans="1:11" ht="26.1" customHeight="1" x14ac:dyDescent="0.25">
      <c r="A10" s="1613" t="s">
        <v>452</v>
      </c>
      <c r="B10" s="1613"/>
      <c r="C10" s="1613"/>
      <c r="D10" s="1613"/>
      <c r="E10" s="1641" t="e">
        <f>'RT03-F11 @ '!D3</f>
        <v>#N/A</v>
      </c>
      <c r="F10" s="1641"/>
      <c r="H10" s="1651" t="s">
        <v>453</v>
      </c>
      <c r="I10" s="1651"/>
      <c r="J10" s="1641">
        <f>'DATOS @'!I8</f>
        <v>0</v>
      </c>
      <c r="K10" s="1641"/>
    </row>
    <row r="11" spans="1:11" ht="26.1" customHeight="1" x14ac:dyDescent="0.25">
      <c r="A11" s="1636"/>
      <c r="B11" s="1636"/>
      <c r="C11" s="336"/>
      <c r="D11" s="1636"/>
      <c r="E11" s="1636"/>
      <c r="F11" s="1636"/>
      <c r="I11" s="337"/>
      <c r="J11" s="337"/>
      <c r="K11" s="337"/>
    </row>
    <row r="12" spans="1:11" ht="26.1" customHeight="1" x14ac:dyDescent="0.25">
      <c r="A12" s="1637" t="s">
        <v>47</v>
      </c>
      <c r="B12" s="1637"/>
      <c r="C12" s="1637"/>
      <c r="D12" s="1637"/>
      <c r="E12" s="1637"/>
      <c r="F12" s="1637"/>
      <c r="G12" s="1637"/>
      <c r="H12" s="1637"/>
      <c r="I12" s="1637"/>
      <c r="J12" s="1637"/>
      <c r="K12" s="337"/>
    </row>
    <row r="13" spans="1:11" ht="18" customHeight="1" x14ac:dyDescent="0.25">
      <c r="A13" s="962"/>
      <c r="B13" s="962"/>
      <c r="C13" s="962"/>
      <c r="D13" s="962"/>
      <c r="E13" s="962"/>
      <c r="F13" s="338"/>
      <c r="G13" s="148"/>
      <c r="H13" s="148"/>
      <c r="I13" s="145"/>
      <c r="J13" s="145"/>
      <c r="K13" s="337"/>
    </row>
    <row r="14" spans="1:11" ht="26.1" customHeight="1" x14ac:dyDescent="0.25">
      <c r="A14" s="1613" t="s">
        <v>25</v>
      </c>
      <c r="B14" s="1613"/>
      <c r="C14" s="1613"/>
      <c r="D14" s="1613"/>
      <c r="E14" s="1646" t="s">
        <v>443</v>
      </c>
      <c r="F14" s="1646"/>
      <c r="G14" s="1646"/>
      <c r="H14" s="1646"/>
      <c r="I14" s="145"/>
      <c r="J14" s="145"/>
      <c r="K14" s="337"/>
    </row>
    <row r="15" spans="1:11" ht="26.1" customHeight="1" x14ac:dyDescent="0.25">
      <c r="A15" s="1613" t="s">
        <v>360</v>
      </c>
      <c r="B15" s="1613"/>
      <c r="C15" s="1613"/>
      <c r="D15" s="1613"/>
      <c r="E15" s="1647">
        <f>'DATOS @'!C15</f>
        <v>0</v>
      </c>
      <c r="F15" s="1647"/>
      <c r="G15" s="1647"/>
      <c r="H15" s="1647"/>
      <c r="I15" s="967"/>
      <c r="J15" s="145"/>
      <c r="K15" s="337"/>
    </row>
    <row r="16" spans="1:11" ht="26.1" customHeight="1" x14ac:dyDescent="0.25">
      <c r="A16" s="1613" t="s">
        <v>359</v>
      </c>
      <c r="B16" s="1613"/>
      <c r="C16" s="1613"/>
      <c r="D16" s="1613"/>
      <c r="E16" s="1647">
        <f>'DATOS @'!E15</f>
        <v>0</v>
      </c>
      <c r="F16" s="1647"/>
      <c r="G16" s="1647"/>
      <c r="H16" s="1647"/>
      <c r="I16" s="967"/>
      <c r="J16" s="145"/>
      <c r="K16" s="337"/>
    </row>
    <row r="17" spans="1:25" ht="26.1" customHeight="1" x14ac:dyDescent="0.25">
      <c r="A17" s="1642" t="s">
        <v>329</v>
      </c>
      <c r="B17" s="1642"/>
      <c r="C17" s="1642"/>
      <c r="D17" s="1642"/>
      <c r="E17" s="1640">
        <f>'DATOS @'!D15</f>
        <v>0</v>
      </c>
      <c r="F17" s="1640"/>
      <c r="G17" s="1640"/>
      <c r="H17" s="1640"/>
      <c r="I17" s="967"/>
      <c r="J17" s="145"/>
      <c r="K17" s="337"/>
    </row>
    <row r="18" spans="1:25" ht="26.1" customHeight="1" x14ac:dyDescent="0.25">
      <c r="A18" s="1642" t="s">
        <v>35</v>
      </c>
      <c r="B18" s="1642"/>
      <c r="C18" s="1642"/>
      <c r="D18" s="1642"/>
      <c r="E18" s="1646" t="s">
        <v>408</v>
      </c>
      <c r="F18" s="1646"/>
      <c r="G18" s="1646"/>
      <c r="H18" s="1646"/>
      <c r="I18" s="967"/>
      <c r="J18" s="145"/>
      <c r="K18" s="337"/>
    </row>
    <row r="19" spans="1:25" ht="26.1" customHeight="1" x14ac:dyDescent="0.25">
      <c r="A19" s="1642" t="s">
        <v>361</v>
      </c>
      <c r="B19" s="1642"/>
      <c r="C19" s="1642"/>
      <c r="D19" s="1642"/>
      <c r="E19" s="1646" t="s">
        <v>346</v>
      </c>
      <c r="F19" s="1646"/>
      <c r="G19" s="1646"/>
      <c r="H19" s="1646"/>
      <c r="I19" s="967"/>
      <c r="J19" s="148"/>
    </row>
    <row r="20" spans="1:25" ht="26.1" customHeight="1" x14ac:dyDescent="0.25">
      <c r="A20" s="1642" t="s">
        <v>362</v>
      </c>
      <c r="B20" s="1642"/>
      <c r="C20" s="1642"/>
      <c r="D20" s="1642"/>
      <c r="E20" s="1646" t="s">
        <v>346</v>
      </c>
      <c r="F20" s="1646"/>
      <c r="G20" s="1646"/>
      <c r="H20" s="1646"/>
      <c r="I20" s="967"/>
      <c r="J20" s="148"/>
    </row>
    <row r="21" spans="1:25" ht="26.1" customHeight="1" x14ac:dyDescent="0.25">
      <c r="A21" s="1642" t="s">
        <v>358</v>
      </c>
      <c r="B21" s="1642"/>
      <c r="C21" s="1642"/>
      <c r="D21" s="1642"/>
      <c r="E21" s="1044" t="str">
        <f>'DATOS @'!G15</f>
        <v>5 gal</v>
      </c>
      <c r="F21" s="1045"/>
      <c r="G21" s="1045"/>
      <c r="H21" s="1045"/>
      <c r="I21" s="967"/>
      <c r="J21" s="148"/>
      <c r="S21" s="1636"/>
      <c r="T21" s="1636"/>
      <c r="U21" s="1636"/>
      <c r="V21" s="1636"/>
      <c r="W21" s="1636"/>
    </row>
    <row r="22" spans="1:25" ht="26.1" customHeight="1" x14ac:dyDescent="0.25">
      <c r="A22" s="1642" t="s">
        <v>237</v>
      </c>
      <c r="B22" s="1642"/>
      <c r="C22" s="1642"/>
      <c r="D22" s="1642"/>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42" t="s">
        <v>328</v>
      </c>
      <c r="B23" s="1642"/>
      <c r="C23" s="1642"/>
      <c r="D23" s="1642"/>
      <c r="E23" s="1646" t="s">
        <v>363</v>
      </c>
      <c r="F23" s="1646"/>
      <c r="G23" s="1646"/>
      <c r="H23" s="1646"/>
      <c r="I23" s="967"/>
      <c r="J23" s="341"/>
      <c r="S23" s="1638"/>
      <c r="T23" s="1639"/>
      <c r="U23" s="1639"/>
      <c r="W23" s="1636"/>
      <c r="X23" s="1636"/>
      <c r="Y23" s="1636"/>
    </row>
    <row r="24" spans="1:25" ht="26.1" customHeight="1" x14ac:dyDescent="0.25">
      <c r="A24" s="1636"/>
      <c r="B24" s="1636"/>
      <c r="C24" s="1636"/>
      <c r="D24" s="1636"/>
      <c r="E24" s="1650"/>
      <c r="F24" s="1650"/>
      <c r="G24" s="1650"/>
      <c r="H24" s="1650"/>
      <c r="I24" s="974"/>
    </row>
    <row r="25" spans="1:25" ht="23.1" customHeight="1" x14ac:dyDescent="0.25">
      <c r="A25" s="1637" t="s">
        <v>151</v>
      </c>
      <c r="B25" s="1637"/>
      <c r="C25" s="1637"/>
      <c r="D25" s="1637"/>
      <c r="E25" s="1637"/>
      <c r="F25" s="1637"/>
      <c r="G25" s="1637"/>
      <c r="H25" s="1637"/>
      <c r="I25" s="1637"/>
      <c r="J25" s="1637"/>
      <c r="K25" s="1637"/>
    </row>
    <row r="26" spans="1:25" ht="18" customHeight="1" x14ac:dyDescent="0.25">
      <c r="A26" s="148"/>
      <c r="B26" s="148"/>
      <c r="C26" s="148"/>
      <c r="D26" s="148"/>
      <c r="E26" s="148"/>
      <c r="F26" s="148"/>
      <c r="G26" s="148"/>
      <c r="H26" s="148"/>
      <c r="I26" s="148"/>
      <c r="J26" s="148"/>
      <c r="K26" s="148"/>
    </row>
    <row r="27" spans="1:25" ht="23.1" customHeight="1" x14ac:dyDescent="0.25">
      <c r="A27" s="1645" t="str">
        <f>'DATOS @'!G8</f>
        <v>Laboratorio de calibración de masa y volumen, avenida carrera  50 # 26-55 Int 2,  piso 5.</v>
      </c>
      <c r="B27" s="1645"/>
      <c r="C27" s="1645"/>
      <c r="D27" s="1645"/>
      <c r="E27" s="1645"/>
      <c r="F27" s="1645"/>
      <c r="G27" s="1645"/>
      <c r="H27" s="1645"/>
      <c r="I27" s="1645"/>
      <c r="J27" s="1645"/>
      <c r="K27" s="1645"/>
    </row>
    <row r="28" spans="1:25" ht="26.1" customHeight="1" x14ac:dyDescent="0.25">
      <c r="A28" s="1648"/>
      <c r="B28" s="1648"/>
      <c r="C28" s="1648"/>
      <c r="D28" s="1648"/>
      <c r="E28" s="1648"/>
      <c r="F28" s="1648"/>
      <c r="G28" s="1648"/>
      <c r="H28" s="1648"/>
      <c r="I28" s="1648"/>
      <c r="J28" s="1648"/>
      <c r="K28" s="1648"/>
    </row>
    <row r="29" spans="1:25" ht="23.1" customHeight="1" x14ac:dyDescent="0.25">
      <c r="A29" s="1637" t="s">
        <v>318</v>
      </c>
      <c r="B29" s="1637"/>
      <c r="C29" s="1637"/>
      <c r="D29" s="1637"/>
      <c r="E29" s="1645" t="str">
        <f>'DATOS @'!J8</f>
        <v>LCV-radicado</v>
      </c>
      <c r="F29" s="1645"/>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03" t="s">
        <v>364</v>
      </c>
      <c r="B31" s="1603"/>
      <c r="C31" s="1603"/>
      <c r="D31" s="1603"/>
      <c r="E31" s="1603"/>
      <c r="F31" s="1603"/>
      <c r="G31" s="1603"/>
      <c r="H31" s="1603"/>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1698" t="s">
        <v>605</v>
      </c>
      <c r="H41" s="1698"/>
      <c r="I41" s="1698"/>
      <c r="J41" s="1691" t="str">
        <f>J2</f>
        <v>LCV-XXX-XX</v>
      </c>
      <c r="K41" s="1691"/>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94" t="s">
        <v>40</v>
      </c>
      <c r="B46" s="1694"/>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6" t="s">
        <v>39</v>
      </c>
      <c r="D48" s="1606"/>
      <c r="E48" s="1606"/>
      <c r="F48" s="1606"/>
      <c r="G48" s="1606"/>
      <c r="H48" s="1606"/>
      <c r="I48" s="1606"/>
      <c r="J48" s="1606"/>
      <c r="K48" s="1606"/>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07" t="s">
        <v>315</v>
      </c>
      <c r="D50" s="1607"/>
      <c r="E50" s="1607"/>
      <c r="F50" s="1607"/>
      <c r="G50" s="1607"/>
      <c r="H50" s="1607"/>
      <c r="I50" s="1607"/>
      <c r="J50" s="1607"/>
      <c r="K50" s="1607"/>
    </row>
    <row r="51" spans="1:11" s="348" customFormat="1" ht="15.95" customHeight="1" x14ac:dyDescent="0.2">
      <c r="A51" s="346"/>
      <c r="B51" s="353"/>
      <c r="C51" s="1607"/>
      <c r="D51" s="1607"/>
      <c r="E51" s="1607"/>
      <c r="F51" s="1607"/>
      <c r="G51" s="1607"/>
      <c r="H51" s="1607"/>
      <c r="I51" s="1607"/>
      <c r="J51" s="1607"/>
      <c r="K51" s="1607"/>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6" t="s">
        <v>48</v>
      </c>
      <c r="D53" s="1606"/>
      <c r="E53" s="1606"/>
      <c r="F53" s="1606"/>
      <c r="G53" s="1606"/>
      <c r="H53" s="1606"/>
      <c r="I53" s="1606"/>
      <c r="J53" s="1606"/>
      <c r="K53" s="1606"/>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07" t="s">
        <v>316</v>
      </c>
      <c r="D55" s="1607"/>
      <c r="E55" s="1607"/>
      <c r="F55" s="1607"/>
      <c r="G55" s="1607"/>
      <c r="H55" s="1607"/>
      <c r="I55" s="1607"/>
      <c r="J55" s="1607"/>
      <c r="K55" s="1607"/>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07" t="s">
        <v>49</v>
      </c>
      <c r="D57" s="1607"/>
      <c r="E57" s="1607"/>
      <c r="F57" s="1607"/>
      <c r="G57" s="1607"/>
      <c r="H57" s="1607"/>
      <c r="I57" s="1607"/>
      <c r="J57" s="1607"/>
      <c r="K57" s="1607"/>
    </row>
    <row r="58" spans="1:11" s="348" customFormat="1" ht="12.95" customHeight="1" x14ac:dyDescent="0.2">
      <c r="A58" s="346"/>
      <c r="B58" s="346"/>
      <c r="C58" s="1607"/>
      <c r="D58" s="1607"/>
      <c r="E58" s="1607"/>
      <c r="F58" s="1607"/>
      <c r="G58" s="1607"/>
      <c r="H58" s="1607"/>
      <c r="I58" s="1607"/>
      <c r="J58" s="1607"/>
      <c r="K58" s="1032"/>
    </row>
    <row r="59" spans="1:11" s="348" customFormat="1" ht="24.95" customHeight="1" x14ac:dyDescent="0.2">
      <c r="A59" s="346"/>
      <c r="B59" s="348" t="s">
        <v>12</v>
      </c>
      <c r="C59" s="1607" t="s">
        <v>50</v>
      </c>
      <c r="D59" s="1607"/>
      <c r="E59" s="1607"/>
      <c r="F59" s="1607"/>
      <c r="G59" s="1607"/>
      <c r="H59" s="1607"/>
      <c r="I59" s="1607"/>
      <c r="J59" s="1607"/>
      <c r="K59" s="1607"/>
    </row>
    <row r="60" spans="1:11" s="348" customFormat="1" ht="12.95" customHeight="1" x14ac:dyDescent="0.2">
      <c r="A60" s="346"/>
      <c r="C60" s="1607"/>
      <c r="D60" s="1607"/>
      <c r="E60" s="1607"/>
      <c r="F60" s="1607"/>
      <c r="G60" s="1607"/>
      <c r="H60" s="1607"/>
      <c r="I60" s="1607"/>
      <c r="J60" s="1607"/>
      <c r="K60" s="1032"/>
    </row>
    <row r="61" spans="1:11" s="348" customFormat="1" ht="24.95" customHeight="1" x14ac:dyDescent="0.2">
      <c r="A61" s="346"/>
      <c r="B61" s="346"/>
      <c r="C61" s="1607" t="s">
        <v>51</v>
      </c>
      <c r="D61" s="1607"/>
      <c r="E61" s="1607"/>
      <c r="F61" s="1607"/>
      <c r="G61" s="1607"/>
      <c r="H61" s="1607"/>
      <c r="I61" s="1607"/>
      <c r="J61" s="1607"/>
      <c r="K61" s="1607"/>
    </row>
    <row r="62" spans="1:11" s="348" customFormat="1" ht="12.95" customHeight="1" x14ac:dyDescent="0.2">
      <c r="A62" s="346"/>
      <c r="B62" s="346"/>
      <c r="C62" s="1607"/>
      <c r="D62" s="1607"/>
      <c r="E62" s="1607"/>
      <c r="F62" s="1607"/>
      <c r="G62" s="1607"/>
      <c r="H62" s="1607"/>
      <c r="I62" s="1607"/>
      <c r="J62" s="1607"/>
      <c r="K62" s="1032"/>
    </row>
    <row r="63" spans="1:11" s="348" customFormat="1" ht="24.95" customHeight="1" x14ac:dyDescent="0.2">
      <c r="A63" s="346"/>
      <c r="B63" s="346"/>
      <c r="C63" s="1607" t="s">
        <v>603</v>
      </c>
      <c r="D63" s="1607"/>
      <c r="E63" s="1607"/>
      <c r="F63" s="1607"/>
      <c r="G63" s="1607"/>
      <c r="H63" s="1607"/>
      <c r="I63" s="1607"/>
      <c r="J63" s="1607"/>
      <c r="K63" s="1607"/>
    </row>
    <row r="64" spans="1:11" s="348" customFormat="1" ht="12.95" customHeight="1" x14ac:dyDescent="0.2">
      <c r="A64" s="346"/>
      <c r="B64" s="346"/>
      <c r="C64" s="1607"/>
      <c r="D64" s="1607"/>
      <c r="E64" s="1607"/>
      <c r="F64" s="1607"/>
      <c r="G64" s="1607"/>
      <c r="H64" s="1607"/>
      <c r="I64" s="1607"/>
      <c r="J64" s="1607"/>
      <c r="K64" s="1032"/>
    </row>
    <row r="65" spans="1:12" s="348" customFormat="1" ht="24.95" customHeight="1" x14ac:dyDescent="0.2">
      <c r="A65" s="346"/>
      <c r="B65" s="346"/>
      <c r="C65" s="1607" t="s">
        <v>52</v>
      </c>
      <c r="D65" s="1607"/>
      <c r="E65" s="1607"/>
      <c r="F65" s="1607"/>
      <c r="G65" s="1607"/>
      <c r="H65" s="1607"/>
      <c r="I65" s="1607"/>
      <c r="J65" s="1607"/>
      <c r="K65" s="1607"/>
    </row>
    <row r="66" spans="1:12" s="348" customFormat="1" ht="12.95" customHeight="1" x14ac:dyDescent="0.2">
      <c r="A66" s="346"/>
      <c r="B66" s="346"/>
      <c r="C66" s="1607"/>
      <c r="D66" s="1607"/>
      <c r="E66" s="1607"/>
      <c r="F66" s="1607"/>
      <c r="G66" s="1607"/>
      <c r="H66" s="1607"/>
      <c r="I66" s="1607"/>
      <c r="J66" s="1607"/>
      <c r="K66" s="1032"/>
    </row>
    <row r="67" spans="1:12" s="348" customFormat="1" ht="24.95" customHeight="1" x14ac:dyDescent="0.2">
      <c r="A67" s="346"/>
      <c r="B67" s="346"/>
      <c r="C67" s="1607" t="s">
        <v>454</v>
      </c>
      <c r="D67" s="1607"/>
      <c r="E67" s="1607"/>
      <c r="F67" s="1607"/>
      <c r="G67" s="1607"/>
      <c r="H67" s="1607"/>
      <c r="I67" s="1607"/>
      <c r="J67" s="1607"/>
      <c r="K67" s="1032"/>
    </row>
    <row r="68" spans="1:12" s="348" customFormat="1" ht="12.95" customHeight="1" x14ac:dyDescent="0.25">
      <c r="A68" s="346"/>
      <c r="B68" s="346"/>
      <c r="C68" s="1607"/>
      <c r="D68" s="1607"/>
      <c r="E68" s="1607"/>
      <c r="F68" s="1607"/>
      <c r="G68" s="1607"/>
      <c r="H68" s="1607"/>
      <c r="I68" s="1607"/>
      <c r="J68" s="1607"/>
      <c r="K68" s="1032"/>
      <c r="L68" s="151"/>
    </row>
    <row r="69" spans="1:12" s="348" customFormat="1" ht="24.95" customHeight="1" x14ac:dyDescent="0.25">
      <c r="A69" s="346"/>
      <c r="B69" s="346"/>
      <c r="C69" s="1606" t="s">
        <v>455</v>
      </c>
      <c r="D69" s="1606"/>
      <c r="E69" s="1606"/>
      <c r="F69" s="1606"/>
      <c r="G69" s="1606"/>
      <c r="H69" s="1606"/>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6" t="s">
        <v>456</v>
      </c>
      <c r="D71" s="1606"/>
      <c r="E71" s="1606"/>
      <c r="F71" s="1606"/>
      <c r="G71" s="1606"/>
      <c r="H71" s="1606"/>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03" t="s">
        <v>365</v>
      </c>
      <c r="B74" s="1603"/>
      <c r="C74" s="1603"/>
      <c r="D74" s="1603"/>
      <c r="E74" s="1603"/>
      <c r="F74" s="974"/>
      <c r="G74" s="974"/>
    </row>
    <row r="75" spans="1:12" ht="15.95" customHeight="1" x14ac:dyDescent="0.25">
      <c r="A75" s="355"/>
      <c r="B75" s="355"/>
      <c r="C75" s="355"/>
      <c r="D75" s="355"/>
      <c r="E75" s="355"/>
      <c r="F75" s="974"/>
      <c r="G75" s="974"/>
      <c r="H75" s="974"/>
      <c r="I75" s="974"/>
      <c r="J75" s="356"/>
    </row>
    <row r="76" spans="1:12" ht="15" customHeight="1" x14ac:dyDescent="0.25">
      <c r="A76" s="1628" t="s">
        <v>366</v>
      </c>
      <c r="B76" s="1628"/>
      <c r="C76" s="1628"/>
      <c r="D76" s="1628"/>
      <c r="E76" s="1628"/>
      <c r="F76" s="1628"/>
      <c r="G76" s="1628"/>
      <c r="H76" s="1628"/>
      <c r="I76" s="1628"/>
      <c r="J76" s="1628"/>
      <c r="K76" s="1628"/>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60" t="s">
        <v>287</v>
      </c>
      <c r="C78" s="1660"/>
      <c r="D78" s="1660"/>
      <c r="E78" s="1660" t="s">
        <v>480</v>
      </c>
      <c r="F78" s="1660"/>
      <c r="G78" s="1660"/>
      <c r="H78" s="1660" t="s">
        <v>34</v>
      </c>
      <c r="I78" s="1660"/>
      <c r="J78" s="959"/>
      <c r="K78" s="148"/>
    </row>
    <row r="79" spans="1:12" ht="20.100000000000001" customHeight="1" thickBot="1" x14ac:dyDescent="0.3">
      <c r="A79" s="964"/>
      <c r="B79" s="1663" t="e">
        <f>'RT03-F11 @ '!P37</f>
        <v>#DIV/0!</v>
      </c>
      <c r="C79" s="1663"/>
      <c r="D79" s="1663"/>
      <c r="E79" s="1662" t="e">
        <f>'RT03-F11 @ '!P38</f>
        <v>#DIV/0!</v>
      </c>
      <c r="F79" s="1662"/>
      <c r="G79" s="1662"/>
      <c r="H79" s="1661" t="e">
        <f>'RT03-F11 @ '!P39</f>
        <v>#DIV/0!</v>
      </c>
      <c r="I79" s="1661"/>
      <c r="J79" s="959"/>
      <c r="K79" s="148"/>
    </row>
    <row r="80" spans="1:12" ht="24.95" customHeight="1" x14ac:dyDescent="0.25">
      <c r="A80" s="974"/>
      <c r="B80" s="974"/>
      <c r="C80" s="336"/>
      <c r="D80" s="974"/>
      <c r="E80" s="974"/>
      <c r="F80" s="974"/>
      <c r="G80" s="974"/>
      <c r="H80" s="974"/>
      <c r="I80" s="974"/>
      <c r="J80" s="356"/>
    </row>
    <row r="81" spans="1:11" ht="24.95" customHeight="1" x14ac:dyDescent="0.25">
      <c r="A81" s="1603" t="s">
        <v>367</v>
      </c>
      <c r="B81" s="1603"/>
      <c r="C81" s="1603"/>
      <c r="D81" s="1603"/>
      <c r="E81" s="1603"/>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08" t="s">
        <v>494</v>
      </c>
      <c r="B83" s="1608"/>
      <c r="C83" s="1608"/>
      <c r="D83" s="1608"/>
      <c r="E83" s="1608"/>
      <c r="F83" s="1608"/>
      <c r="G83" s="1608"/>
      <c r="H83" s="1608"/>
      <c r="I83" s="1608"/>
      <c r="J83" s="1608"/>
      <c r="K83" s="1608"/>
    </row>
    <row r="84" spans="1:11" ht="17.100000000000001" customHeight="1" x14ac:dyDescent="0.25">
      <c r="A84" s="1608"/>
      <c r="B84" s="1608"/>
      <c r="C84" s="1608"/>
      <c r="D84" s="1608"/>
      <c r="E84" s="1608"/>
      <c r="F84" s="1608"/>
      <c r="G84" s="1608"/>
      <c r="H84" s="1608"/>
      <c r="I84" s="1608"/>
      <c r="J84" s="1608"/>
      <c r="K84" s="1608"/>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1698" t="s">
        <v>605</v>
      </c>
      <c r="H87" s="1698"/>
      <c r="I87" s="1698"/>
      <c r="J87" s="1649" t="str">
        <f>J2</f>
        <v>LCV-XXX-XX</v>
      </c>
      <c r="K87" s="1649"/>
    </row>
    <row r="88" spans="1:11" s="361" customFormat="1" ht="24.95" customHeight="1" x14ac:dyDescent="0.3">
      <c r="A88" s="1603" t="s">
        <v>368</v>
      </c>
      <c r="B88" s="1603"/>
      <c r="C88" s="1603"/>
      <c r="D88" s="1603"/>
      <c r="E88" s="1603"/>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08" t="s">
        <v>356</v>
      </c>
      <c r="B90" s="1608"/>
      <c r="C90" s="1608"/>
      <c r="D90" s="1608"/>
      <c r="E90" s="1608"/>
      <c r="F90" s="1608"/>
      <c r="G90" s="1608"/>
      <c r="H90" s="1608"/>
      <c r="I90" s="1608"/>
      <c r="J90" s="1608"/>
      <c r="K90" s="1608"/>
    </row>
    <row r="91" spans="1:11" ht="15.95" customHeight="1" thickBot="1" x14ac:dyDescent="0.3">
      <c r="A91" s="363"/>
      <c r="B91" s="363"/>
      <c r="C91" s="363"/>
      <c r="D91" s="363"/>
      <c r="E91" s="363"/>
      <c r="F91" s="363"/>
      <c r="G91" s="363"/>
      <c r="H91" s="363"/>
      <c r="I91" s="363"/>
      <c r="J91" s="363"/>
    </row>
    <row r="92" spans="1:11" ht="33" customHeight="1" thickBot="1" x14ac:dyDescent="0.3">
      <c r="A92" s="1614" t="s">
        <v>53</v>
      </c>
      <c r="B92" s="1615"/>
      <c r="C92" s="1616"/>
      <c r="D92" s="960" t="s">
        <v>37</v>
      </c>
      <c r="E92" s="1611" t="s">
        <v>357</v>
      </c>
      <c r="F92" s="1629"/>
      <c r="G92" s="1614" t="s">
        <v>54</v>
      </c>
      <c r="H92" s="1615"/>
      <c r="I92" s="1614" t="s">
        <v>55</v>
      </c>
      <c r="J92" s="1616"/>
      <c r="K92" s="364"/>
    </row>
    <row r="93" spans="1:11" ht="33" customHeight="1" x14ac:dyDescent="0.25">
      <c r="A93" s="1706" t="s">
        <v>409</v>
      </c>
      <c r="B93" s="1707"/>
      <c r="C93" s="1707"/>
      <c r="D93" s="1042" t="str">
        <f>'DATOS @'!D31</f>
        <v>Serhapin test Measure</v>
      </c>
      <c r="E93" s="1626" t="s">
        <v>457</v>
      </c>
      <c r="F93" s="1627"/>
      <c r="G93" s="1609" t="str">
        <f>'DATOS @'!E31</f>
        <v xml:space="preserve">16-5935702    C-I V-005         </v>
      </c>
      <c r="H93" s="1652"/>
      <c r="I93" s="1609" t="str">
        <f>'DATOS @'!L31</f>
        <v>INM 3688</v>
      </c>
      <c r="J93" s="1610"/>
      <c r="K93" s="364"/>
    </row>
    <row r="94" spans="1:11" ht="33" customHeight="1" x14ac:dyDescent="0.25">
      <c r="A94" s="1702" t="s">
        <v>339</v>
      </c>
      <c r="B94" s="1703"/>
      <c r="C94" s="1703"/>
      <c r="D94" s="1043" t="str">
        <f>'DATOS @'!D38</f>
        <v xml:space="preserve">Lufft </v>
      </c>
      <c r="E94" s="1618" t="s">
        <v>464</v>
      </c>
      <c r="F94" s="1619"/>
      <c r="G94" s="1630" t="str">
        <f>'DATOS @'!E44</f>
        <v xml:space="preserve">004,0816,1212,006 / pt 347980,002     </v>
      </c>
      <c r="H94" s="1635"/>
      <c r="I94" s="1630" t="str">
        <f>'DATOS @'!L44</f>
        <v>INM 3934</v>
      </c>
      <c r="J94" s="1631"/>
      <c r="K94" s="364"/>
    </row>
    <row r="95" spans="1:11" ht="33" customHeight="1" x14ac:dyDescent="0.25">
      <c r="A95" s="1702" t="s">
        <v>340</v>
      </c>
      <c r="B95" s="1703"/>
      <c r="C95" s="1703"/>
      <c r="D95" s="1043" t="str">
        <f>'DATOS @'!D44</f>
        <v xml:space="preserve">Lufft </v>
      </c>
      <c r="E95" s="1618" t="s">
        <v>464</v>
      </c>
      <c r="F95" s="1619"/>
      <c r="G95" s="1630" t="str">
        <f>'DATOS @'!E38</f>
        <v xml:space="preserve">22,1014,1212,,005 / pt 347980,004     </v>
      </c>
      <c r="H95" s="1635"/>
      <c r="I95" s="1630" t="str">
        <f>'DATOS @'!L38</f>
        <v>INM 3933</v>
      </c>
      <c r="J95" s="1631"/>
      <c r="K95" s="364"/>
    </row>
    <row r="96" spans="1:11" ht="33" customHeight="1" thickBot="1" x14ac:dyDescent="0.3">
      <c r="A96" s="1704" t="s">
        <v>29</v>
      </c>
      <c r="B96" s="1705"/>
      <c r="C96" s="1705"/>
      <c r="D96" s="969" t="e">
        <f>VLOOKUP(K96,'DATOS @'!$C$112:$L$118,2,FALSE)</f>
        <v>#N/A</v>
      </c>
      <c r="E96" s="1654" t="e">
        <f>VLOOKUP(K96,'DATOS @'!$C$112:$M$118,11,FALSE)</f>
        <v>#N/A</v>
      </c>
      <c r="F96" s="1655"/>
      <c r="G96" s="1681" t="e">
        <f>VLOOKUP(K96,'DATOS @'!$C$112:$L$118,3,FALSE)</f>
        <v>#N/A</v>
      </c>
      <c r="H96" s="1682"/>
      <c r="I96" s="1683" t="e">
        <f>VLOOKUP(K96,'DATOS @'!$C$112:$L$118,10,FALSE)</f>
        <v>#N/A</v>
      </c>
      <c r="J96" s="1684"/>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03" t="s">
        <v>369</v>
      </c>
      <c r="B98" s="1603"/>
      <c r="C98" s="1603"/>
      <c r="D98" s="1603"/>
      <c r="E98" s="1603"/>
      <c r="F98" s="1603"/>
      <c r="G98" s="1603"/>
      <c r="H98" s="1603"/>
      <c r="I98" s="1603"/>
      <c r="J98" s="1603"/>
      <c r="K98" s="1603"/>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11" t="s">
        <v>30</v>
      </c>
      <c r="B101" s="1629"/>
      <c r="C101" s="1611" t="s">
        <v>31</v>
      </c>
      <c r="D101" s="1612"/>
      <c r="E101" s="1629"/>
      <c r="F101" s="1611" t="s">
        <v>336</v>
      </c>
      <c r="G101" s="1629"/>
      <c r="H101" s="370" t="s">
        <v>410</v>
      </c>
      <c r="I101" s="371"/>
      <c r="J101" s="372" t="s">
        <v>468</v>
      </c>
      <c r="K101" s="373" t="s">
        <v>469</v>
      </c>
    </row>
    <row r="102" spans="1:12" s="366" customFormat="1" ht="30" customHeight="1" thickBot="1" x14ac:dyDescent="0.3">
      <c r="A102" s="1671" t="e">
        <f>'RT03-F11 @ '!$F$29</f>
        <v>#N/A</v>
      </c>
      <c r="B102" s="1672"/>
      <c r="C102" s="1634">
        <f>'RT03-F11 @ '!M30</f>
        <v>18927.055</v>
      </c>
      <c r="D102" s="1634"/>
      <c r="E102" s="1050" t="s">
        <v>4</v>
      </c>
      <c r="F102" s="374" t="e">
        <f>'RT03-F11 @ '!C121</f>
        <v>#N/A</v>
      </c>
      <c r="G102" s="1051" t="s">
        <v>4</v>
      </c>
      <c r="H102" s="890" t="e">
        <f>IF('RT03-F11 @ '!F121&lt;=('CMC @'!C10),"4,6","AJUSTAR")</f>
        <v>#N/A</v>
      </c>
      <c r="I102" s="1051" t="s">
        <v>4</v>
      </c>
      <c r="J102" s="376" t="e">
        <f>'RT03-F11 @ '!I121</f>
        <v>#N/A</v>
      </c>
      <c r="K102" s="1623" t="e">
        <f>IF('RT03-F11 @ '!I121+'RT03-F11 @ '!F121&lt;=('RT03-F38 @'!F116),"CUMPLE","NO CUMPLE")</f>
        <v>#N/A</v>
      </c>
    </row>
    <row r="103" spans="1:12" s="366" customFormat="1" ht="30" customHeight="1" thickBot="1" x14ac:dyDescent="0.3">
      <c r="A103" s="1673"/>
      <c r="B103" s="1674"/>
      <c r="C103" s="1634">
        <f>'RT03-F11 @ '!M28</f>
        <v>1155.0000427166315</v>
      </c>
      <c r="D103" s="1634"/>
      <c r="E103" s="1052" t="s">
        <v>604</v>
      </c>
      <c r="F103" s="377" t="e">
        <f>'RT03-F11 @ '!C122</f>
        <v>#N/A</v>
      </c>
      <c r="G103" s="1053" t="s">
        <v>604</v>
      </c>
      <c r="H103" s="375" t="e">
        <f>IF('RT03-F11 @ '!F122&lt;=('CMC @'!D10),"0,38","AJUSTAR")</f>
        <v>#N/A</v>
      </c>
      <c r="I103" s="1053" t="s">
        <v>604</v>
      </c>
      <c r="J103" s="378" t="e">
        <f>'RT03-F11 @ '!I122</f>
        <v>#N/A</v>
      </c>
      <c r="K103" s="1624"/>
    </row>
    <row r="104" spans="1:12" s="366" customFormat="1" ht="30" customHeight="1" thickBot="1" x14ac:dyDescent="0.3">
      <c r="A104" s="1673"/>
      <c r="B104" s="1674"/>
      <c r="C104" s="1632">
        <f>'RT03-F11 @ '!M27</f>
        <v>5</v>
      </c>
      <c r="D104" s="1633"/>
      <c r="E104" s="1052" t="s">
        <v>9</v>
      </c>
      <c r="F104" s="379" t="e">
        <f>'RT03-F11 @ '!C123</f>
        <v>#N/A</v>
      </c>
      <c r="G104" s="1053" t="s">
        <v>9</v>
      </c>
      <c r="H104" s="375" t="e">
        <f>IF('RT03-F11 @ '!F123&lt;=('CMC @'!E10),"0,0017","AJUSTAR")</f>
        <v>#N/A</v>
      </c>
      <c r="I104" s="1053" t="s">
        <v>9</v>
      </c>
      <c r="J104" s="380" t="e">
        <f>'RT03-F11 @ '!I123</f>
        <v>#N/A</v>
      </c>
      <c r="K104" s="1624"/>
    </row>
    <row r="105" spans="1:12" ht="30" customHeight="1" thickBot="1" x14ac:dyDescent="0.3">
      <c r="A105" s="1675"/>
      <c r="B105" s="1676"/>
      <c r="C105" s="1667">
        <v>100</v>
      </c>
      <c r="D105" s="1668"/>
      <c r="E105" s="1052" t="s">
        <v>288</v>
      </c>
      <c r="F105" s="381" t="e">
        <f>'RT03-F11 @ '!C124</f>
        <v>#N/A</v>
      </c>
      <c r="G105" s="1052" t="s">
        <v>288</v>
      </c>
      <c r="H105" s="375" t="e">
        <f>IF('RT03-F11 @ '!F123&lt;=('CMC @'!E10),"0,063","AJUSTAR")</f>
        <v>#N/A</v>
      </c>
      <c r="I105" s="1053" t="s">
        <v>288</v>
      </c>
      <c r="J105" s="382" t="e">
        <f>'RT03-F11 @ '!I124</f>
        <v>#N/A</v>
      </c>
      <c r="K105" s="1625"/>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11" t="s">
        <v>336</v>
      </c>
      <c r="G108" s="1612"/>
      <c r="H108" s="370" t="s">
        <v>466</v>
      </c>
      <c r="I108" s="371"/>
      <c r="J108" s="372" t="s">
        <v>470</v>
      </c>
      <c r="K108" s="373" t="s">
        <v>487</v>
      </c>
    </row>
    <row r="109" spans="1:12" ht="30" customHeight="1" thickBot="1" x14ac:dyDescent="0.3">
      <c r="A109" s="1671" t="e">
        <f>A102</f>
        <v>#N/A</v>
      </c>
      <c r="B109" s="1672"/>
      <c r="C109" s="1634">
        <f>C102</f>
        <v>18927.055</v>
      </c>
      <c r="D109" s="1634"/>
      <c r="E109" s="1052" t="s">
        <v>4</v>
      </c>
      <c r="F109" s="374" t="e">
        <f>'Despues de ajuste @'!C121</f>
        <v>#N/A</v>
      </c>
      <c r="G109" s="1054" t="s">
        <v>4</v>
      </c>
      <c r="H109" s="891" t="e">
        <f>IF('RT03-F11 @ '!F121&lt;=('CMC @'!C10),"4,6","AJUSTAR")</f>
        <v>#N/A</v>
      </c>
      <c r="I109" s="1052" t="s">
        <v>4</v>
      </c>
      <c r="J109" s="376" t="e">
        <f>'Despues de ajuste @'!I121</f>
        <v>#N/A</v>
      </c>
      <c r="K109" s="1620" t="e">
        <f>IF('Despues de ajuste @'!I121+'Despues de ajuste @'!F121&lt;=('RT03-F38 @'!F116),"CUMPLE","NO CUMPLE")</f>
        <v>#N/A</v>
      </c>
    </row>
    <row r="110" spans="1:12" ht="30" customHeight="1" thickBot="1" x14ac:dyDescent="0.3">
      <c r="A110" s="1673"/>
      <c r="B110" s="1674"/>
      <c r="C110" s="1634">
        <f>C103</f>
        <v>1155.0000427166315</v>
      </c>
      <c r="D110" s="1634"/>
      <c r="E110" s="1052" t="s">
        <v>604</v>
      </c>
      <c r="F110" s="377" t="e">
        <f>'Despues de ajuste @'!C122</f>
        <v>#N/A</v>
      </c>
      <c r="G110" s="1054" t="s">
        <v>604</v>
      </c>
      <c r="H110" s="391" t="e">
        <f>IF('RT03-F11 @ '!F122&lt;=('CMC @'!D10),"0,38","AJUSTAR")</f>
        <v>#N/A</v>
      </c>
      <c r="I110" s="1052" t="s">
        <v>604</v>
      </c>
      <c r="J110" s="378" t="e">
        <f>'Despues de ajuste @'!I122</f>
        <v>#N/A</v>
      </c>
      <c r="K110" s="1621"/>
    </row>
    <row r="111" spans="1:12" ht="30" customHeight="1" thickBot="1" x14ac:dyDescent="0.3">
      <c r="A111" s="1673"/>
      <c r="B111" s="1674"/>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21"/>
    </row>
    <row r="112" spans="1:12" ht="30" customHeight="1" thickBot="1" x14ac:dyDescent="0.3">
      <c r="A112" s="1675"/>
      <c r="B112" s="1676"/>
      <c r="C112" s="1667">
        <v>100</v>
      </c>
      <c r="D112" s="1668"/>
      <c r="E112" s="1055" t="s">
        <v>288</v>
      </c>
      <c r="F112" s="381" t="e">
        <f>'Despues de ajuste @'!C124</f>
        <v>#N/A</v>
      </c>
      <c r="G112" s="1055" t="s">
        <v>288</v>
      </c>
      <c r="H112" s="375" t="e">
        <f>IF('RT03-F11 @ '!F123&lt;=('CMC @'!E10),"0,063","AJUSTAR")</f>
        <v>#N/A</v>
      </c>
      <c r="I112" s="1056" t="s">
        <v>288</v>
      </c>
      <c r="J112" s="382" t="e">
        <f>'Despues de ajuste @'!I124</f>
        <v>#N/A</v>
      </c>
      <c r="K112" s="1622"/>
    </row>
    <row r="113" spans="1:11" ht="24.95" customHeight="1" x14ac:dyDescent="0.25"/>
    <row r="114" spans="1:11" ht="33" customHeight="1" x14ac:dyDescent="0.25">
      <c r="A114" s="1695" t="s">
        <v>473</v>
      </c>
      <c r="B114" s="1695"/>
      <c r="C114" s="1695"/>
      <c r="D114" s="1695"/>
      <c r="E114" s="1695"/>
      <c r="F114" s="1695"/>
      <c r="G114" s="1695"/>
      <c r="H114" s="1695"/>
      <c r="I114" s="1695"/>
      <c r="J114" s="1695"/>
      <c r="K114" s="1695"/>
    </row>
    <row r="115" spans="1:11" ht="15.95" customHeight="1" thickBot="1" x14ac:dyDescent="0.3">
      <c r="A115" s="1057"/>
      <c r="B115" s="1057"/>
      <c r="C115" s="1057"/>
      <c r="D115" s="1057"/>
      <c r="E115" s="1057"/>
      <c r="F115" s="1057"/>
      <c r="G115" s="1057"/>
      <c r="H115" s="1057"/>
      <c r="I115" s="1057"/>
      <c r="J115" s="1057"/>
      <c r="K115" s="1057"/>
    </row>
    <row r="116" spans="1:11" ht="24.95" customHeight="1" thickBot="1" x14ac:dyDescent="0.3">
      <c r="A116" s="1057"/>
      <c r="B116" s="1057"/>
      <c r="C116" s="1057"/>
      <c r="D116" s="1049"/>
      <c r="E116" s="1058" t="s">
        <v>467</v>
      </c>
      <c r="F116" s="1059">
        <f>(C109*0.05%)</f>
        <v>9.4635274999999996</v>
      </c>
      <c r="G116" s="1058" t="s">
        <v>4</v>
      </c>
      <c r="H116" s="1057"/>
      <c r="I116" s="1060"/>
      <c r="J116" s="1057"/>
      <c r="K116" s="1057"/>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1699" t="s">
        <v>605</v>
      </c>
      <c r="H121" s="1699"/>
      <c r="I121" s="1699"/>
      <c r="J121" s="1700" t="str">
        <f>J2</f>
        <v>LCV-XXX-XX</v>
      </c>
      <c r="K121" s="1701"/>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66" t="s">
        <v>370</v>
      </c>
      <c r="B123" s="1666"/>
      <c r="C123" s="1666"/>
      <c r="D123" s="1666"/>
      <c r="E123" s="1666"/>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17" t="s">
        <v>238</v>
      </c>
      <c r="B125" s="1617"/>
      <c r="C125" s="1617"/>
      <c r="D125" s="1617"/>
      <c r="E125" s="1617"/>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13" t="s">
        <v>458</v>
      </c>
      <c r="B127" s="1613"/>
      <c r="C127" s="1613"/>
      <c r="D127" s="1613"/>
      <c r="E127" s="1613"/>
      <c r="F127" s="1613"/>
      <c r="G127" s="1613"/>
      <c r="H127" s="1613"/>
      <c r="I127" s="1613"/>
      <c r="J127" s="336"/>
    </row>
    <row r="128" spans="1:11" ht="20.100000000000001" customHeight="1" thickBot="1" x14ac:dyDescent="0.3">
      <c r="A128" s="967"/>
      <c r="B128" s="967"/>
      <c r="C128" s="967"/>
      <c r="D128" s="967"/>
      <c r="E128" s="920"/>
      <c r="F128" s="1669" t="s">
        <v>7</v>
      </c>
      <c r="G128" s="1669"/>
      <c r="H128" s="148"/>
      <c r="I128" s="148"/>
      <c r="J128" s="148"/>
      <c r="K128" s="148"/>
    </row>
    <row r="129" spans="1:12" ht="16.5" customHeight="1" x14ac:dyDescent="0.25">
      <c r="A129" s="338"/>
      <c r="C129" s="399" t="e">
        <f>'VERIFICACIÓN DE LA ESCALA @'!C56</f>
        <v>#N/A</v>
      </c>
      <c r="D129" s="400" t="s">
        <v>4</v>
      </c>
      <c r="E129" s="1678"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78"/>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78"/>
      <c r="F131" s="923" t="e">
        <f>'VERIFICACIÓN DE LA ESCALA @'!F58</f>
        <v>#N/A</v>
      </c>
      <c r="G131" s="973" t="s">
        <v>288</v>
      </c>
      <c r="I131" s="148"/>
      <c r="J131" s="148"/>
      <c r="K131" s="148"/>
    </row>
    <row r="132" spans="1:12" ht="24.95" customHeight="1" x14ac:dyDescent="0.25">
      <c r="A132" s="967"/>
      <c r="B132" s="148"/>
      <c r="C132" s="148"/>
      <c r="D132" s="148"/>
      <c r="E132" s="1048"/>
      <c r="F132" s="1048"/>
      <c r="G132" s="1048"/>
      <c r="H132" s="333"/>
      <c r="I132" s="1030"/>
      <c r="J132" s="1030"/>
      <c r="K132" s="1030"/>
    </row>
    <row r="133" spans="1:12" ht="12" customHeight="1" x14ac:dyDescent="0.25">
      <c r="A133" s="1670" t="s">
        <v>371</v>
      </c>
      <c r="B133" s="1670"/>
      <c r="C133" s="1670"/>
      <c r="D133" s="1670"/>
      <c r="E133" s="1670"/>
      <c r="F133" s="1670"/>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64" t="s">
        <v>584</v>
      </c>
      <c r="C135" s="1664"/>
      <c r="D135" s="1664"/>
      <c r="E135" s="1664"/>
      <c r="F135" s="1664"/>
      <c r="G135" s="1664"/>
      <c r="H135" s="1664"/>
      <c r="I135" s="1664"/>
      <c r="J135" s="1664"/>
      <c r="K135" s="1664"/>
    </row>
    <row r="136" spans="1:12" ht="33" customHeight="1" x14ac:dyDescent="0.25">
      <c r="A136" s="1038" t="s">
        <v>583</v>
      </c>
      <c r="B136" s="1664" t="s">
        <v>585</v>
      </c>
      <c r="C136" s="1664"/>
      <c r="D136" s="1664"/>
      <c r="E136" s="1664"/>
      <c r="F136" s="1664"/>
      <c r="G136" s="1664"/>
      <c r="H136" s="1664"/>
      <c r="I136" s="1664"/>
      <c r="J136" s="1664"/>
      <c r="K136" s="1664"/>
    </row>
    <row r="137" spans="1:12" ht="33" customHeight="1" x14ac:dyDescent="0.25">
      <c r="A137" s="1038" t="s">
        <v>583</v>
      </c>
      <c r="B137" s="1664" t="s">
        <v>586</v>
      </c>
      <c r="C137" s="1664"/>
      <c r="D137" s="1664"/>
      <c r="E137" s="1664"/>
      <c r="F137" s="1664"/>
      <c r="G137" s="1664"/>
      <c r="H137" s="1664"/>
      <c r="I137" s="1664"/>
      <c r="J137" s="1664"/>
      <c r="K137" s="1664"/>
    </row>
    <row r="138" spans="1:12" s="405" customFormat="1" ht="23.1" customHeight="1" x14ac:dyDescent="0.25">
      <c r="A138" s="1038" t="s">
        <v>583</v>
      </c>
      <c r="B138" s="1664" t="s">
        <v>587</v>
      </c>
      <c r="C138" s="1664"/>
      <c r="D138" s="1664"/>
      <c r="E138" s="1664"/>
      <c r="F138" s="1664"/>
      <c r="G138" s="1664"/>
      <c r="H138" s="1664"/>
      <c r="I138" s="1664"/>
      <c r="J138" s="1664"/>
      <c r="K138" s="1664"/>
    </row>
    <row r="139" spans="1:12" s="405" customFormat="1" ht="23.1" customHeight="1" x14ac:dyDescent="0.25">
      <c r="A139" s="1038" t="s">
        <v>583</v>
      </c>
      <c r="B139" s="1664" t="s">
        <v>588</v>
      </c>
      <c r="C139" s="1664"/>
      <c r="D139" s="1664"/>
      <c r="E139" s="1664"/>
      <c r="F139" s="1664"/>
      <c r="G139" s="1664"/>
      <c r="H139" s="1664"/>
      <c r="I139" s="1664"/>
      <c r="J139" s="1664"/>
      <c r="K139" s="1664"/>
    </row>
    <row r="140" spans="1:12" s="405" customFormat="1" ht="23.1" customHeight="1" x14ac:dyDescent="0.25">
      <c r="A140" s="1038" t="s">
        <v>583</v>
      </c>
      <c r="B140" s="1664" t="s">
        <v>589</v>
      </c>
      <c r="C140" s="1664"/>
      <c r="D140" s="1664"/>
      <c r="E140" s="1664"/>
      <c r="F140" s="1664"/>
      <c r="G140" s="1664"/>
      <c r="H140" s="1664"/>
      <c r="I140" s="1664"/>
      <c r="J140" s="1664"/>
      <c r="K140" s="1664"/>
    </row>
    <row r="141" spans="1:12" ht="23.1" customHeight="1" x14ac:dyDescent="0.25">
      <c r="A141" s="1038" t="s">
        <v>583</v>
      </c>
      <c r="B141" s="1664" t="s">
        <v>590</v>
      </c>
      <c r="C141" s="1664"/>
      <c r="D141" s="1664"/>
      <c r="E141" s="1664"/>
      <c r="F141" s="1664"/>
      <c r="G141" s="1664"/>
      <c r="H141" s="1664"/>
      <c r="I141" s="1664"/>
      <c r="J141" s="1664"/>
      <c r="K141" s="1664"/>
    </row>
    <row r="142" spans="1:12" s="405" customFormat="1" ht="23.1" customHeight="1" x14ac:dyDescent="0.25">
      <c r="A142" s="1038" t="s">
        <v>583</v>
      </c>
      <c r="B142" s="1664" t="s">
        <v>591</v>
      </c>
      <c r="C142" s="1664"/>
      <c r="D142" s="1664"/>
      <c r="E142" s="1664"/>
      <c r="F142" s="1664"/>
      <c r="G142" s="1664"/>
      <c r="H142" s="1664"/>
      <c r="I142" s="1664"/>
      <c r="J142" s="1664"/>
      <c r="K142" s="1664"/>
      <c r="L142" s="406"/>
    </row>
    <row r="143" spans="1:12" s="405" customFormat="1" ht="23.1" customHeight="1" x14ac:dyDescent="0.25">
      <c r="A143" s="1038" t="s">
        <v>592</v>
      </c>
      <c r="B143" s="1664" t="s">
        <v>593</v>
      </c>
      <c r="C143" s="1664"/>
      <c r="D143" s="1664"/>
      <c r="E143" s="1664"/>
      <c r="F143" s="1664"/>
      <c r="G143" s="1664"/>
      <c r="H143" s="1664"/>
      <c r="I143" s="1664"/>
      <c r="J143" s="1664"/>
      <c r="K143" s="1664"/>
      <c r="L143" s="406"/>
    </row>
    <row r="144" spans="1:12" ht="23.1" customHeight="1" x14ac:dyDescent="0.25">
      <c r="A144" s="1038" t="s">
        <v>592</v>
      </c>
      <c r="B144" s="1664" t="s">
        <v>595</v>
      </c>
      <c r="C144" s="1664"/>
      <c r="D144" s="1664"/>
      <c r="E144" s="1664"/>
      <c r="F144" s="1664"/>
      <c r="G144" s="1664"/>
      <c r="H144" s="1664"/>
      <c r="I144" s="1664"/>
      <c r="J144" s="1664"/>
      <c r="K144" s="1664"/>
      <c r="L144" s="407"/>
    </row>
    <row r="145" spans="1:12" ht="23.1" customHeight="1" x14ac:dyDescent="0.25">
      <c r="A145" s="1039" t="s">
        <v>583</v>
      </c>
      <c r="B145" s="1664" t="s">
        <v>594</v>
      </c>
      <c r="C145" s="1664"/>
      <c r="D145" s="1664"/>
      <c r="E145" s="1664"/>
      <c r="F145" s="1664"/>
      <c r="G145" s="1664"/>
      <c r="H145" s="1664"/>
      <c r="I145" s="1664"/>
      <c r="J145" s="1664"/>
      <c r="K145" s="1664"/>
      <c r="L145" s="408"/>
    </row>
    <row r="146" spans="1:12" ht="33" customHeight="1" x14ac:dyDescent="0.25">
      <c r="A146" s="1038" t="s">
        <v>583</v>
      </c>
      <c r="B146" s="1664" t="s">
        <v>596</v>
      </c>
      <c r="C146" s="1664"/>
      <c r="D146" s="1664"/>
      <c r="E146" s="1664"/>
      <c r="F146" s="1664"/>
      <c r="G146" s="1664"/>
      <c r="H146" s="1664"/>
      <c r="I146" s="1664"/>
      <c r="J146" s="1664"/>
      <c r="K146" s="1664"/>
    </row>
    <row r="147" spans="1:12" ht="23.1" customHeight="1" x14ac:dyDescent="0.25">
      <c r="A147" s="1038" t="s">
        <v>583</v>
      </c>
      <c r="B147" s="1664" t="s">
        <v>597</v>
      </c>
      <c r="C147" s="1664"/>
      <c r="D147" s="1664"/>
      <c r="E147" s="1664"/>
      <c r="F147" s="1664"/>
      <c r="G147" s="1664"/>
      <c r="H147" s="1664"/>
      <c r="I147" s="1664"/>
      <c r="J147" s="1664"/>
      <c r="K147" s="1664"/>
    </row>
    <row r="148" spans="1:12" ht="23.1" customHeight="1" x14ac:dyDescent="0.25">
      <c r="A148" s="1038" t="s">
        <v>583</v>
      </c>
      <c r="B148" s="1664" t="s">
        <v>598</v>
      </c>
      <c r="C148" s="1664"/>
      <c r="D148" s="1664"/>
      <c r="E148" s="1664"/>
      <c r="F148" s="1664"/>
      <c r="G148" s="1664"/>
      <c r="H148" s="1664"/>
      <c r="I148" s="1664"/>
      <c r="J148" s="1664"/>
      <c r="K148" s="1664"/>
    </row>
    <row r="149" spans="1:12" ht="23.1" customHeight="1" x14ac:dyDescent="0.25">
      <c r="A149" s="1038" t="s">
        <v>583</v>
      </c>
      <c r="B149" s="1664" t="s">
        <v>599</v>
      </c>
      <c r="C149" s="1664"/>
      <c r="D149" s="1664"/>
      <c r="E149" s="1664"/>
      <c r="F149" s="1664"/>
      <c r="G149" s="1664"/>
      <c r="H149" s="1664"/>
      <c r="I149" s="1664"/>
      <c r="J149" s="1664"/>
      <c r="K149" s="1664"/>
    </row>
    <row r="150" spans="1:12" ht="23.1" customHeight="1" x14ac:dyDescent="0.25">
      <c r="A150" s="1038" t="s">
        <v>583</v>
      </c>
      <c r="B150" s="1664" t="s">
        <v>600</v>
      </c>
      <c r="C150" s="1664"/>
      <c r="D150" s="1664"/>
      <c r="E150" s="1664"/>
      <c r="F150" s="1664"/>
      <c r="G150" s="1664"/>
      <c r="H150" s="1664"/>
      <c r="I150" s="1664"/>
      <c r="J150" s="1664"/>
      <c r="K150" s="1664"/>
    </row>
    <row r="151" spans="1:12" ht="23.1" customHeight="1" x14ac:dyDescent="0.25">
      <c r="A151" s="1038" t="s">
        <v>583</v>
      </c>
      <c r="B151" s="1664" t="s">
        <v>606</v>
      </c>
      <c r="C151" s="1664"/>
      <c r="D151" s="1664"/>
      <c r="E151" s="1664"/>
      <c r="F151" s="1664"/>
      <c r="G151" s="1664"/>
      <c r="H151" s="1664"/>
      <c r="I151" s="1664"/>
      <c r="J151" s="1664"/>
      <c r="K151" s="1664"/>
    </row>
    <row r="152" spans="1:12" ht="23.1" customHeight="1" x14ac:dyDescent="0.25">
      <c r="A152" s="1038" t="s">
        <v>592</v>
      </c>
      <c r="B152" s="1664" t="s">
        <v>607</v>
      </c>
      <c r="C152" s="1664"/>
      <c r="D152" s="1664"/>
      <c r="E152" s="1664"/>
      <c r="F152" s="1664"/>
      <c r="G152" s="1664"/>
      <c r="H152" s="1664"/>
      <c r="I152" s="1664"/>
      <c r="J152" s="1664"/>
      <c r="K152" s="1664"/>
    </row>
    <row r="153" spans="1:12" ht="15" customHeight="1" x14ac:dyDescent="0.25">
      <c r="E153" s="148"/>
      <c r="F153" s="148"/>
      <c r="G153" s="148"/>
      <c r="H153" s="148"/>
      <c r="I153" s="148"/>
      <c r="J153" s="148"/>
      <c r="K153" s="148"/>
    </row>
    <row r="154" spans="1:12" ht="15" customHeight="1" x14ac:dyDescent="0.25">
      <c r="A154" s="1677" t="s">
        <v>32</v>
      </c>
      <c r="B154" s="1677"/>
      <c r="C154" s="1677"/>
      <c r="D154" s="1677"/>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86"/>
      <c r="C158" s="1686"/>
      <c r="D158" s="1686"/>
      <c r="E158" s="1686"/>
      <c r="F158" s="1686"/>
      <c r="G158" s="341"/>
      <c r="H158" s="1686"/>
      <c r="I158" s="1686"/>
      <c r="J158" s="1686"/>
      <c r="K158" s="1182"/>
    </row>
    <row r="159" spans="1:12" ht="15" customHeight="1" x14ac:dyDescent="0.25">
      <c r="A159" s="148"/>
      <c r="B159" s="1685" t="s">
        <v>33</v>
      </c>
      <c r="C159" s="1685"/>
      <c r="D159" s="1685"/>
      <c r="E159" s="1685"/>
      <c r="F159" s="1685"/>
      <c r="G159" s="341" t="s">
        <v>581</v>
      </c>
      <c r="H159" s="1685" t="s">
        <v>582</v>
      </c>
      <c r="I159" s="1685"/>
      <c r="J159" s="1685"/>
      <c r="K159" s="148"/>
    </row>
    <row r="160" spans="1:12" ht="21" customHeight="1" x14ac:dyDescent="0.25">
      <c r="B160" s="1687" t="e">
        <f>VLOOKUP(A158,'DATOS @'!P9:S13,4,FALSE)</f>
        <v>#N/A</v>
      </c>
      <c r="C160" s="1687"/>
      <c r="D160" s="1687"/>
      <c r="E160" s="1687"/>
      <c r="F160" s="1687"/>
      <c r="G160" s="409"/>
      <c r="H160" s="1688" t="e">
        <f>VLOOKUP(K158,'DATOS @'!P9:U13,6,FALSE)</f>
        <v>#N/A</v>
      </c>
      <c r="I160" s="1688"/>
      <c r="J160" s="1688"/>
      <c r="K160" s="409"/>
    </row>
    <row r="161" spans="1:11" ht="15" customHeight="1" x14ac:dyDescent="0.25">
      <c r="A161" s="148"/>
      <c r="B161" s="1677" t="e">
        <f>VLOOKUP(A158,'DATOS @'!P9:S13,2,FALSE)</f>
        <v>#N/A</v>
      </c>
      <c r="C161" s="1677"/>
      <c r="D161" s="1677"/>
      <c r="E161" s="1677"/>
      <c r="F161" s="1677"/>
      <c r="G161" s="1031"/>
      <c r="H161" s="1677" t="e">
        <f>VLOOKUP(K158,'DATOS @'!P9:U13,2,FALSE)</f>
        <v>#N/A</v>
      </c>
      <c r="I161" s="1677"/>
      <c r="J161" s="1677"/>
      <c r="K161" s="1031"/>
    </row>
    <row r="162" spans="1:11" ht="15" customHeight="1" x14ac:dyDescent="0.25">
      <c r="D162" s="148"/>
      <c r="E162" s="148"/>
      <c r="F162" s="148"/>
      <c r="G162" s="148"/>
      <c r="H162" s="148"/>
      <c r="I162" s="148"/>
      <c r="J162" s="148"/>
      <c r="K162" s="148"/>
    </row>
    <row r="163" spans="1:11" ht="15" customHeight="1" x14ac:dyDescent="0.25">
      <c r="A163" s="148"/>
      <c r="B163" s="1689" t="s">
        <v>471</v>
      </c>
      <c r="C163" s="1689"/>
      <c r="D163" s="1689"/>
      <c r="E163" s="1690" t="s">
        <v>472</v>
      </c>
      <c r="F163" s="1690"/>
      <c r="H163" s="404"/>
      <c r="I163" s="1696" t="s">
        <v>580</v>
      </c>
      <c r="J163" s="1696"/>
      <c r="K163" s="409" t="s">
        <v>472</v>
      </c>
    </row>
    <row r="164" spans="1:11" ht="15" customHeight="1" x14ac:dyDescent="0.25">
      <c r="A164" s="148"/>
      <c r="J164" s="148"/>
      <c r="K164" s="148"/>
    </row>
    <row r="165" spans="1:11" ht="15.75" customHeight="1" x14ac:dyDescent="0.25">
      <c r="A165" s="1665" t="s">
        <v>239</v>
      </c>
      <c r="B165" s="1665"/>
      <c r="C165" s="1665"/>
      <c r="D165" s="1665"/>
      <c r="E165" s="1665"/>
      <c r="F165" s="1665"/>
      <c r="G165" s="1665"/>
      <c r="H165" s="1665"/>
      <c r="I165" s="1665"/>
      <c r="J165" s="1665"/>
      <c r="K165" s="1665"/>
    </row>
  </sheetData>
  <sheetProtection password="CF5C" sheet="1" objects="1" scenarios="1"/>
  <mergeCells count="159">
    <mergeCell ref="A8:B8"/>
    <mergeCell ref="D8:K8"/>
    <mergeCell ref="A10:D10"/>
    <mergeCell ref="E10:F10"/>
    <mergeCell ref="H10:I10"/>
    <mergeCell ref="J10:K10"/>
    <mergeCell ref="A1:K1"/>
    <mergeCell ref="J2:K2"/>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S23:U23"/>
    <mergeCell ref="W23:Y23"/>
    <mergeCell ref="A24:D24"/>
    <mergeCell ref="E24:H24"/>
    <mergeCell ref="A19:D19"/>
    <mergeCell ref="E19:H19"/>
    <mergeCell ref="A20:D20"/>
    <mergeCell ref="E20:H20"/>
    <mergeCell ref="A21:D21"/>
    <mergeCell ref="S21:W21"/>
    <mergeCell ref="A25:K25"/>
    <mergeCell ref="A27:K27"/>
    <mergeCell ref="A28:K28"/>
    <mergeCell ref="A29:D29"/>
    <mergeCell ref="E29:F29"/>
    <mergeCell ref="A31:H31"/>
    <mergeCell ref="A22:D22"/>
    <mergeCell ref="A23:D23"/>
    <mergeCell ref="E23:H23"/>
    <mergeCell ref="C55:K55"/>
    <mergeCell ref="C57:K57"/>
    <mergeCell ref="C58:J58"/>
    <mergeCell ref="C59:K59"/>
    <mergeCell ref="C60:J60"/>
    <mergeCell ref="C61:K61"/>
    <mergeCell ref="A33:K34"/>
    <mergeCell ref="J41:K41"/>
    <mergeCell ref="A46:B46"/>
    <mergeCell ref="C48:K48"/>
    <mergeCell ref="C50:K51"/>
    <mergeCell ref="C53:K53"/>
    <mergeCell ref="C68:J68"/>
    <mergeCell ref="C69:H69"/>
    <mergeCell ref="C71:H71"/>
    <mergeCell ref="A74:E74"/>
    <mergeCell ref="A76:K76"/>
    <mergeCell ref="B78:D78"/>
    <mergeCell ref="E78:G78"/>
    <mergeCell ref="H78:I78"/>
    <mergeCell ref="C62:J62"/>
    <mergeCell ref="C63:K63"/>
    <mergeCell ref="C64:J64"/>
    <mergeCell ref="C65:K65"/>
    <mergeCell ref="C66:J66"/>
    <mergeCell ref="C67:J67"/>
    <mergeCell ref="A88:E88"/>
    <mergeCell ref="A90:K90"/>
    <mergeCell ref="A92:C92"/>
    <mergeCell ref="E92:F92"/>
    <mergeCell ref="G92:H92"/>
    <mergeCell ref="I92:J92"/>
    <mergeCell ref="B79:D79"/>
    <mergeCell ref="E79:G79"/>
    <mergeCell ref="H79:I79"/>
    <mergeCell ref="A81:E81"/>
    <mergeCell ref="A83:K84"/>
    <mergeCell ref="J87:K87"/>
    <mergeCell ref="A95:C95"/>
    <mergeCell ref="E95:F95"/>
    <mergeCell ref="G95:H95"/>
    <mergeCell ref="I95:J95"/>
    <mergeCell ref="A96:C96"/>
    <mergeCell ref="E96:F96"/>
    <mergeCell ref="G96:H96"/>
    <mergeCell ref="I96:J96"/>
    <mergeCell ref="A93:C93"/>
    <mergeCell ref="E93:F93"/>
    <mergeCell ref="G93:H93"/>
    <mergeCell ref="I93:J93"/>
    <mergeCell ref="A94:C94"/>
    <mergeCell ref="E94:F94"/>
    <mergeCell ref="G94:H94"/>
    <mergeCell ref="I94:J94"/>
    <mergeCell ref="A98:K98"/>
    <mergeCell ref="A100:I100"/>
    <mergeCell ref="A101:B101"/>
    <mergeCell ref="C101:E101"/>
    <mergeCell ref="F101:G101"/>
    <mergeCell ref="A102:B105"/>
    <mergeCell ref="C102:D102"/>
    <mergeCell ref="K102:K105"/>
    <mergeCell ref="C103:D103"/>
    <mergeCell ref="C104:D104"/>
    <mergeCell ref="A114:K114"/>
    <mergeCell ref="J121:K121"/>
    <mergeCell ref="A123:E123"/>
    <mergeCell ref="A125:E125"/>
    <mergeCell ref="A127:I127"/>
    <mergeCell ref="F128:G128"/>
    <mergeCell ref="C105:D105"/>
    <mergeCell ref="F108:G108"/>
    <mergeCell ref="A109:B112"/>
    <mergeCell ref="C109:D109"/>
    <mergeCell ref="K109:K112"/>
    <mergeCell ref="C110:D110"/>
    <mergeCell ref="C112:D112"/>
    <mergeCell ref="B150:K150"/>
    <mergeCell ref="B139:K139"/>
    <mergeCell ref="B140:K140"/>
    <mergeCell ref="B141:K141"/>
    <mergeCell ref="B142:K142"/>
    <mergeCell ref="B143:K143"/>
    <mergeCell ref="B144:K144"/>
    <mergeCell ref="E129:E131"/>
    <mergeCell ref="A133:F133"/>
    <mergeCell ref="B135:K135"/>
    <mergeCell ref="B136:K136"/>
    <mergeCell ref="B137:K137"/>
    <mergeCell ref="B138:K138"/>
    <mergeCell ref="B151:K151"/>
    <mergeCell ref="A165:K165"/>
    <mergeCell ref="G2:I2"/>
    <mergeCell ref="G41:I41"/>
    <mergeCell ref="G87:I87"/>
    <mergeCell ref="G121:I121"/>
    <mergeCell ref="B160:F160"/>
    <mergeCell ref="H160:J160"/>
    <mergeCell ref="B161:F161"/>
    <mergeCell ref="H161:J161"/>
    <mergeCell ref="B163:D163"/>
    <mergeCell ref="E163:F163"/>
    <mergeCell ref="I163:J163"/>
    <mergeCell ref="B152:K152"/>
    <mergeCell ref="A154:D154"/>
    <mergeCell ref="B158:F158"/>
    <mergeCell ref="H158:J158"/>
    <mergeCell ref="B159:F159"/>
    <mergeCell ref="H159:J159"/>
    <mergeCell ref="B145:K145"/>
    <mergeCell ref="B146:K146"/>
    <mergeCell ref="B147:K147"/>
    <mergeCell ref="B148:K148"/>
    <mergeCell ref="B149:K149"/>
  </mergeCells>
  <printOptions horizontalCentered="1"/>
  <pageMargins left="0.23622047244094491" right="0.23622047244094491" top="0.74803149606299213" bottom="0.74803149606299213" header="0.31496062992125984" footer="0.31496062992125984"/>
  <pageSetup scale="65" orientation="portrait" r:id="rId1"/>
  <headerFooter>
    <oddHeader>&amp;C
&amp;"Arial,Negrita"
MODIFICACIÓN AL CERTIFICADO DE CALIBRACIÓN DE RECIPIENTES VOLUMÉTRICOS</oddHeader>
    <oddFooter xml:space="preserve">&amp;RRT03-F38 Vr.6 (2020-04-27)
&amp;P de 4 </oddFooter>
  </headerFooter>
  <rowBreaks count="3" manualBreakCount="3">
    <brk id="39" max="16383" man="1"/>
    <brk id="85" max="16383" man="1"/>
    <brk id="119" min="1"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C124984-486B-4565-942D-1E017934A0F6}">
            <xm:f>NOT(ISERROR(SEARCH($F$109,F123)))</xm:f>
            <xm:f>$F$109</xm:f>
            <x14:dxf>
              <font>
                <b/>
                <i val="0"/>
              </font>
            </x14:dxf>
          </x14:cfRule>
          <x14:cfRule type="containsText" priority="2" stopIfTrue="1" operator="containsText" id="{A2145027-CE1C-4F83-ACE5-9E2A8EDEF9BD}">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@'!$C$112:$C$117</xm:f>
          </x14:formula1>
          <xm:sqref>K96</xm:sqref>
        </x14:dataValidation>
        <x14:dataValidation type="list" allowBlank="1" showInputMessage="1" showErrorMessage="1">
          <x14:formula1>
            <xm:f>'DATOS @'!$P$9:$P$13</xm:f>
          </x14:formula1>
          <xm:sqref>K158 A158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10</vt:i4>
      </vt:variant>
    </vt:vector>
  </HeadingPairs>
  <TitlesOfParts>
    <vt:vector size="18" baseType="lpstr">
      <vt:lpstr>DATOS @</vt:lpstr>
      <vt:lpstr>RT03-F11 @ </vt:lpstr>
      <vt:lpstr>Despues de ajuste @</vt:lpstr>
      <vt:lpstr>CMC @</vt:lpstr>
      <vt:lpstr>Máx. y Mín. @</vt:lpstr>
      <vt:lpstr>VERIFICACIÓN DE LA ESCALA @</vt:lpstr>
      <vt:lpstr>RT03-F14 @</vt:lpstr>
      <vt:lpstr>RT03-F38 @</vt:lpstr>
      <vt:lpstr>'DATOS @'!Área_de_impresión</vt:lpstr>
      <vt:lpstr>'Despues de ajuste @'!Área_de_impresión</vt:lpstr>
      <vt:lpstr>'RT03-F11 @ '!Área_de_impresión</vt:lpstr>
      <vt:lpstr>'RT03-F14 @'!Área_de_impresión</vt:lpstr>
      <vt:lpstr>'RT03-F38 @'!Área_de_impresión</vt:lpstr>
      <vt:lpstr>'VERIFICACIÓN DE LA ESCALA @'!Área_de_impresión</vt:lpstr>
      <vt:lpstr>'RT03-F14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2020-04-27T02:44:26Z</cp:lastPrinted>
  <dcterms:created xsi:type="dcterms:W3CDTF">2015-11-06T23:47:29Z</dcterms:created>
  <dcterms:modified xsi:type="dcterms:W3CDTF">2020-04-27T23:34:44Z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